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44F0B1-1F73-41A2-809C-16C314ED6F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sh Management" sheetId="1" r:id="rId1"/>
    <sheet name="Cash Plus" sheetId="2" r:id="rId2"/>
    <sheet name="CF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bF96svzi9+ddWLQ0G5gMhuSVhYA=="/>
    </ext>
  </extLst>
</workbook>
</file>

<file path=xl/calcChain.xml><?xml version="1.0" encoding="utf-8"?>
<calcChain xmlns="http://schemas.openxmlformats.org/spreadsheetml/2006/main">
  <c r="J77" i="3" l="1"/>
  <c r="J78" i="3" s="1"/>
  <c r="I77" i="3"/>
  <c r="I78" i="3" s="1"/>
  <c r="D77" i="3"/>
  <c r="D78" i="3" s="1"/>
  <c r="C77" i="3"/>
  <c r="C78" i="3" s="1"/>
  <c r="J65" i="3"/>
  <c r="J66" i="3" s="1"/>
  <c r="I65" i="3"/>
  <c r="I66" i="3" s="1"/>
  <c r="D65" i="3"/>
  <c r="D66" i="3" s="1"/>
  <c r="C65" i="3"/>
  <c r="C66" i="3" s="1"/>
  <c r="J50" i="3"/>
  <c r="J51" i="3" s="1"/>
  <c r="I50" i="3"/>
  <c r="I51" i="3" s="1"/>
  <c r="D50" i="3"/>
  <c r="D51" i="3" s="1"/>
  <c r="C50" i="3"/>
  <c r="E54" i="3" s="1"/>
  <c r="J48" i="3"/>
  <c r="D48" i="3"/>
  <c r="E43" i="3"/>
  <c r="C40" i="3"/>
  <c r="C41" i="3" s="1"/>
  <c r="J39" i="3"/>
  <c r="J40" i="3" s="1"/>
  <c r="I39" i="3"/>
  <c r="I40" i="3" s="1"/>
  <c r="C39" i="3"/>
  <c r="J37" i="3"/>
  <c r="D37" i="3"/>
  <c r="D39" i="3" s="1"/>
  <c r="K29" i="3"/>
  <c r="I26" i="3"/>
  <c r="I27" i="3" s="1"/>
  <c r="C26" i="3"/>
  <c r="C27" i="3" s="1"/>
  <c r="I25" i="3"/>
  <c r="C25" i="3"/>
  <c r="E29" i="3" s="1"/>
  <c r="J23" i="3"/>
  <c r="J25" i="3" s="1"/>
  <c r="D23" i="3"/>
  <c r="D25" i="3" s="1"/>
  <c r="I15" i="3"/>
  <c r="I16" i="3" s="1"/>
  <c r="I14" i="3"/>
  <c r="K18" i="3" s="1"/>
  <c r="C14" i="3"/>
  <c r="C15" i="3" s="1"/>
  <c r="J12" i="3"/>
  <c r="J14" i="3" s="1"/>
  <c r="D12" i="3"/>
  <c r="D14" i="3" s="1"/>
  <c r="D54" i="2"/>
  <c r="D55" i="2" s="1"/>
  <c r="C54" i="2"/>
  <c r="C55" i="2" s="1"/>
  <c r="D50" i="2"/>
  <c r="D51" i="2" s="1"/>
  <c r="C50" i="2"/>
  <c r="C51" i="2" s="1"/>
  <c r="D45" i="2"/>
  <c r="D46" i="2" s="1"/>
  <c r="C45" i="2"/>
  <c r="D44" i="2"/>
  <c r="C44" i="2"/>
  <c r="C35" i="2"/>
  <c r="C36" i="2" s="1"/>
  <c r="D34" i="2"/>
  <c r="D35" i="2" s="1"/>
  <c r="D36" i="2" s="1"/>
  <c r="C37" i="2" s="1"/>
  <c r="C34" i="2"/>
  <c r="D32" i="2"/>
  <c r="C32" i="2"/>
  <c r="D23" i="2"/>
  <c r="C23" i="2"/>
  <c r="D22" i="2"/>
  <c r="C22" i="2"/>
  <c r="D18" i="2"/>
  <c r="D19" i="2" s="1"/>
  <c r="C18" i="2"/>
  <c r="D11" i="2"/>
  <c r="C11" i="2"/>
  <c r="C12" i="2" s="1"/>
  <c r="D79" i="1"/>
  <c r="A79" i="1"/>
  <c r="D63" i="1"/>
  <c r="D65" i="1" s="1"/>
  <c r="D60" i="1"/>
  <c r="D62" i="1" s="1"/>
  <c r="J56" i="1"/>
  <c r="J57" i="1" s="1"/>
  <c r="I56" i="1"/>
  <c r="I57" i="1" s="1"/>
  <c r="D56" i="1"/>
  <c r="C56" i="1"/>
  <c r="C63" i="1" s="1"/>
  <c r="C65" i="1" s="1"/>
  <c r="J54" i="1"/>
  <c r="D54" i="1"/>
  <c r="N46" i="1"/>
  <c r="M46" i="1"/>
  <c r="I46" i="1"/>
  <c r="H46" i="1"/>
  <c r="D46" i="1"/>
  <c r="N45" i="1"/>
  <c r="M45" i="1"/>
  <c r="I45" i="1"/>
  <c r="H45" i="1"/>
  <c r="D45" i="1"/>
  <c r="C45" i="1"/>
  <c r="C46" i="1" s="1"/>
  <c r="H41" i="1"/>
  <c r="H42" i="1" s="1"/>
  <c r="N35" i="1"/>
  <c r="N36" i="1" s="1"/>
  <c r="C35" i="1"/>
  <c r="N34" i="1"/>
  <c r="N41" i="1" s="1"/>
  <c r="M34" i="1"/>
  <c r="M35" i="1" s="1"/>
  <c r="I34" i="1"/>
  <c r="I35" i="1" s="1"/>
  <c r="H34" i="1"/>
  <c r="C34" i="1"/>
  <c r="C41" i="1" s="1"/>
  <c r="N32" i="1"/>
  <c r="I32" i="1"/>
  <c r="D32" i="1"/>
  <c r="D34" i="1" s="1"/>
  <c r="N25" i="1"/>
  <c r="D25" i="1"/>
  <c r="C25" i="1"/>
  <c r="N24" i="1"/>
  <c r="M24" i="1"/>
  <c r="M25" i="1" s="1"/>
  <c r="I24" i="1"/>
  <c r="I25" i="1" s="1"/>
  <c r="H24" i="1"/>
  <c r="H25" i="1" s="1"/>
  <c r="D24" i="1"/>
  <c r="C24" i="1"/>
  <c r="M15" i="1"/>
  <c r="I15" i="1"/>
  <c r="M14" i="1"/>
  <c r="M16" i="1" s="1"/>
  <c r="I14" i="1"/>
  <c r="I16" i="1" s="1"/>
  <c r="H14" i="1"/>
  <c r="H15" i="1" s="1"/>
  <c r="M13" i="1"/>
  <c r="M20" i="1" s="1"/>
  <c r="I13" i="1"/>
  <c r="I20" i="1" s="1"/>
  <c r="H13" i="1"/>
  <c r="H20" i="1" s="1"/>
  <c r="C13" i="1"/>
  <c r="C14" i="1" s="1"/>
  <c r="N11" i="1"/>
  <c r="N13" i="1" s="1"/>
  <c r="I11" i="1"/>
  <c r="D11" i="1"/>
  <c r="D13" i="1" s="1"/>
  <c r="D20" i="1" l="1"/>
  <c r="D21" i="1" s="1"/>
  <c r="D22" i="1" s="1"/>
  <c r="D14" i="1"/>
  <c r="H21" i="1"/>
  <c r="H22" i="1"/>
  <c r="M36" i="1"/>
  <c r="M37" i="1" s="1"/>
  <c r="J15" i="3"/>
  <c r="C68" i="3"/>
  <c r="C69" i="3" s="1"/>
  <c r="C67" i="3"/>
  <c r="I21" i="1"/>
  <c r="I22" i="1"/>
  <c r="N42" i="1"/>
  <c r="N43" i="1" s="1"/>
  <c r="C47" i="2"/>
  <c r="C56" i="2" s="1"/>
  <c r="C17" i="3"/>
  <c r="C16" i="3"/>
  <c r="D67" i="3"/>
  <c r="D68" i="3" s="1"/>
  <c r="D69" i="3" s="1"/>
  <c r="D35" i="1"/>
  <c r="D38" i="1"/>
  <c r="D41" i="1"/>
  <c r="I68" i="3"/>
  <c r="I67" i="3"/>
  <c r="D40" i="3"/>
  <c r="J67" i="3"/>
  <c r="J68" i="3" s="1"/>
  <c r="J69" i="3" s="1"/>
  <c r="C13" i="2"/>
  <c r="C14" i="2" s="1"/>
  <c r="I58" i="1"/>
  <c r="I59" i="1" s="1"/>
  <c r="I61" i="1" s="1"/>
  <c r="D26" i="3"/>
  <c r="C80" i="3"/>
  <c r="C81" i="3" s="1"/>
  <c r="C79" i="3"/>
  <c r="M21" i="1"/>
  <c r="M22" i="1" s="1"/>
  <c r="N17" i="1"/>
  <c r="N14" i="1"/>
  <c r="N20" i="1"/>
  <c r="C43" i="1"/>
  <c r="C42" i="1"/>
  <c r="J59" i="1"/>
  <c r="J58" i="1"/>
  <c r="J26" i="3"/>
  <c r="C43" i="3"/>
  <c r="D52" i="3"/>
  <c r="D53" i="3" s="1"/>
  <c r="D54" i="3" s="1"/>
  <c r="D80" i="3"/>
  <c r="D81" i="3" s="1"/>
  <c r="D79" i="3"/>
  <c r="C15" i="1"/>
  <c r="C16" i="1" s="1"/>
  <c r="I41" i="3"/>
  <c r="I42" i="3" s="1"/>
  <c r="I43" i="3" s="1"/>
  <c r="I53" i="3"/>
  <c r="I54" i="3" s="1"/>
  <c r="I52" i="3"/>
  <c r="I80" i="3"/>
  <c r="I79" i="3"/>
  <c r="I36" i="1"/>
  <c r="I37" i="1" s="1"/>
  <c r="D15" i="3"/>
  <c r="J41" i="3"/>
  <c r="J42" i="3" s="1"/>
  <c r="J43" i="3" s="1"/>
  <c r="I44" i="3" s="1"/>
  <c r="J53" i="3"/>
  <c r="J54" i="3" s="1"/>
  <c r="I55" i="3" s="1"/>
  <c r="J52" i="3"/>
  <c r="J80" i="3"/>
  <c r="J81" i="3" s="1"/>
  <c r="J79" i="3"/>
  <c r="C17" i="1"/>
  <c r="M38" i="1"/>
  <c r="I17" i="3"/>
  <c r="I18" i="3" s="1"/>
  <c r="C28" i="3"/>
  <c r="C36" i="1"/>
  <c r="C37" i="1" s="1"/>
  <c r="D17" i="1"/>
  <c r="N38" i="1"/>
  <c r="I41" i="1"/>
  <c r="C15" i="2"/>
  <c r="C19" i="2"/>
  <c r="C20" i="2" s="1"/>
  <c r="C46" i="2"/>
  <c r="H17" i="1"/>
  <c r="C20" i="1"/>
  <c r="I81" i="3"/>
  <c r="I38" i="1"/>
  <c r="C60" i="1"/>
  <c r="C62" i="1" s="1"/>
  <c r="I28" i="3"/>
  <c r="I29" i="3" s="1"/>
  <c r="C42" i="3"/>
  <c r="E69" i="3"/>
  <c r="E81" i="3"/>
  <c r="K43" i="3"/>
  <c r="H16" i="1"/>
  <c r="M17" i="1"/>
  <c r="H35" i="1"/>
  <c r="C38" i="1"/>
  <c r="H43" i="1"/>
  <c r="D57" i="1"/>
  <c r="D12" i="2"/>
  <c r="D20" i="2"/>
  <c r="D47" i="2"/>
  <c r="D56" i="2" s="1"/>
  <c r="C57" i="2" s="1"/>
  <c r="E18" i="3"/>
  <c r="C29" i="3"/>
  <c r="C51" i="3"/>
  <c r="I17" i="1"/>
  <c r="N37" i="1"/>
  <c r="C57" i="1"/>
  <c r="D15" i="1"/>
  <c r="D16" i="1" s="1"/>
  <c r="C48" i="2"/>
  <c r="C49" i="2" s="1"/>
  <c r="C52" i="2"/>
  <c r="C53" i="2" s="1"/>
  <c r="K54" i="3"/>
  <c r="K69" i="3"/>
  <c r="K81" i="3"/>
  <c r="M41" i="1"/>
  <c r="J61" i="1"/>
  <c r="D15" i="2"/>
  <c r="C18" i="3"/>
  <c r="I69" i="3"/>
  <c r="H38" i="1"/>
  <c r="D48" i="2"/>
  <c r="D49" i="2" s="1"/>
  <c r="D52" i="2"/>
  <c r="D53" i="2" s="1"/>
  <c r="I62" i="1" l="1"/>
  <c r="I63" i="1" s="1"/>
  <c r="D59" i="1"/>
  <c r="D66" i="1" s="1"/>
  <c r="D58" i="1"/>
  <c r="D16" i="2"/>
  <c r="D17" i="2" s="1"/>
  <c r="I42" i="1"/>
  <c r="I43" i="1" s="1"/>
  <c r="J16" i="3"/>
  <c r="J17" i="3"/>
  <c r="J18" i="3" s="1"/>
  <c r="I19" i="3" s="1"/>
  <c r="I39" i="1"/>
  <c r="I40" i="1" s="1"/>
  <c r="I47" i="1" s="1"/>
  <c r="H48" i="1" s="1"/>
  <c r="M42" i="1"/>
  <c r="M43" i="1" s="1"/>
  <c r="N21" i="1"/>
  <c r="N22" i="1"/>
  <c r="D27" i="3"/>
  <c r="D28" i="3"/>
  <c r="D29" i="3" s="1"/>
  <c r="C30" i="3" s="1"/>
  <c r="D39" i="1"/>
  <c r="D40" i="1" s="1"/>
  <c r="D42" i="1"/>
  <c r="D43" i="1"/>
  <c r="M39" i="1"/>
  <c r="M40" i="1"/>
  <c r="C82" i="3"/>
  <c r="D18" i="1"/>
  <c r="D19" i="1" s="1"/>
  <c r="D26" i="1" s="1"/>
  <c r="N15" i="1"/>
  <c r="N16" i="1"/>
  <c r="D41" i="3"/>
  <c r="D42" i="3"/>
  <c r="D43" i="3" s="1"/>
  <c r="C44" i="3" s="1"/>
  <c r="C53" i="3"/>
  <c r="C54" i="3" s="1"/>
  <c r="C55" i="3" s="1"/>
  <c r="C52" i="3"/>
  <c r="I82" i="3"/>
  <c r="H36" i="1"/>
  <c r="H37" i="1" s="1"/>
  <c r="H47" i="1" s="1"/>
  <c r="I70" i="3"/>
  <c r="I18" i="1"/>
  <c r="I19" i="1" s="1"/>
  <c r="I26" i="1" s="1"/>
  <c r="H27" i="1" s="1"/>
  <c r="C70" i="3"/>
  <c r="H18" i="1"/>
  <c r="H19" i="1" s="1"/>
  <c r="H26" i="1" s="1"/>
  <c r="N18" i="1"/>
  <c r="N19" i="1" s="1"/>
  <c r="D36" i="1"/>
  <c r="D37" i="1"/>
  <c r="C39" i="1"/>
  <c r="C40" i="1"/>
  <c r="C47" i="1" s="1"/>
  <c r="M18" i="1"/>
  <c r="M19" i="1"/>
  <c r="M26" i="1" s="1"/>
  <c r="C17" i="2"/>
  <c r="C24" i="2" s="1"/>
  <c r="C16" i="2"/>
  <c r="C18" i="1"/>
  <c r="C19" i="1" s="1"/>
  <c r="J27" i="3"/>
  <c r="J28" i="3"/>
  <c r="J29" i="3" s="1"/>
  <c r="I30" i="3" s="1"/>
  <c r="N39" i="1"/>
  <c r="N40" i="1" s="1"/>
  <c r="N47" i="1" s="1"/>
  <c r="C59" i="1"/>
  <c r="C66" i="1" s="1"/>
  <c r="C58" i="1"/>
  <c r="C21" i="1"/>
  <c r="C22" i="1" s="1"/>
  <c r="H39" i="1"/>
  <c r="H40" i="1" s="1"/>
  <c r="D13" i="2"/>
  <c r="D14" i="2"/>
  <c r="D17" i="3"/>
  <c r="D18" i="3" s="1"/>
  <c r="C19" i="3" s="1"/>
  <c r="D16" i="3"/>
  <c r="M47" i="1" l="1"/>
  <c r="M48" i="1" s="1"/>
  <c r="D24" i="2"/>
  <c r="C25" i="2" s="1"/>
  <c r="C26" i="1"/>
  <c r="C27" i="1" s="1"/>
  <c r="D47" i="1"/>
  <c r="C48" i="1" s="1"/>
  <c r="N26" i="1"/>
  <c r="M27" i="1" s="1"/>
  <c r="C67" i="1"/>
  <c r="C68" i="1" s="1"/>
</calcChain>
</file>

<file path=xl/sharedStrings.xml><?xml version="1.0" encoding="utf-8"?>
<sst xmlns="http://schemas.openxmlformats.org/spreadsheetml/2006/main" count="352" uniqueCount="80">
  <si>
    <t>Please fill the cells in this COLOUR ONLY</t>
  </si>
  <si>
    <t>CASH ACCOUNT (CDP LINKED) - Singapore Market</t>
  </si>
  <si>
    <t>THROUGH BROKER</t>
  </si>
  <si>
    <t>&lt;50K</t>
  </si>
  <si>
    <t>50K-100K</t>
  </si>
  <si>
    <t>&gt;100K</t>
  </si>
  <si>
    <t>Transaction:</t>
  </si>
  <si>
    <t>Buy</t>
  </si>
  <si>
    <t>Sell</t>
  </si>
  <si>
    <t>Stock Quantity:</t>
  </si>
  <si>
    <t>Trading Price:</t>
  </si>
  <si>
    <t>Trade Amount:</t>
  </si>
  <si>
    <t>Brokerage Fees</t>
  </si>
  <si>
    <t xml:space="preserve"> 7% GST</t>
  </si>
  <si>
    <t>Clearing Fee:</t>
  </si>
  <si>
    <t>SGX Trading Fee:</t>
  </si>
  <si>
    <t>SGX Settlement Fee:</t>
  </si>
  <si>
    <t>Total Proceeds S$: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</si>
  <si>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</si>
  <si>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</si>
  <si>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</si>
  <si>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t>INTERNET ONLINE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</si>
  <si>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</si>
  <si>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</si>
  <si>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</si>
  <si>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t>Cash Account - Hong Kong Market Online</t>
  </si>
  <si>
    <t>Cash Account - US Market Online</t>
  </si>
  <si>
    <t>Trading Price HKD:</t>
  </si>
  <si>
    <t>Trading Price in USD</t>
  </si>
  <si>
    <t>Trade Amount (USD):</t>
  </si>
  <si>
    <t>Total Proceeds USD:</t>
  </si>
  <si>
    <t>Exchange Rate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</si>
  <si>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 in USD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</si>
  <si>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 in SGD</t>
    </r>
  </si>
  <si>
    <t>Total Proceeds HK$: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</si>
  <si>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 in HKD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</si>
  <si>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 in SGD</t>
    </r>
  </si>
  <si>
    <t>Average Price</t>
  </si>
  <si>
    <t>Number of shares</t>
  </si>
  <si>
    <t>Price</t>
  </si>
  <si>
    <t>shares at</t>
  </si>
  <si>
    <t>Average price:</t>
  </si>
  <si>
    <r>
      <rPr>
        <sz val="16"/>
        <color theme="1"/>
        <rFont val="Calibri"/>
        <family val="2"/>
      </rPr>
      <t xml:space="preserve">Thank you for your Support - Hope you find this useful  ;)    talk soon, </t>
    </r>
    <r>
      <rPr>
        <sz val="14"/>
        <color rgb="FF000000"/>
        <rFont val="Calibri"/>
        <family val="2"/>
      </rPr>
      <t>Joey Choy</t>
    </r>
  </si>
  <si>
    <t>Cash Plus - SG Market</t>
  </si>
  <si>
    <t>Settlement Fee</t>
  </si>
  <si>
    <t>Profit/(Loss)</t>
  </si>
  <si>
    <t>Cash Plus - US Market</t>
  </si>
  <si>
    <t>Total Proceeds US$:</t>
  </si>
  <si>
    <t>Cash Plus - HK Market</t>
  </si>
  <si>
    <t>Min Comm (HKD)</t>
  </si>
  <si>
    <t>Stamp Duty:</t>
  </si>
  <si>
    <t xml:space="preserve">CCASS fee	</t>
  </si>
  <si>
    <t xml:space="preserve">Transaction Levy	</t>
  </si>
  <si>
    <t xml:space="preserve">Trading fee	</t>
  </si>
  <si>
    <t>Singapore Market - Stocks</t>
  </si>
  <si>
    <r>
      <rPr>
        <b/>
        <sz val="22"/>
        <color rgb="FF000000"/>
        <rFont val="Calibri"/>
        <family val="2"/>
      </rPr>
      <t xml:space="preserve">Shares </t>
    </r>
    <r>
      <rPr>
        <sz val="22"/>
        <color rgb="FF000000"/>
        <rFont val="Calibri"/>
        <family val="2"/>
      </rPr>
      <t>CFD -LONG</t>
    </r>
  </si>
  <si>
    <r>
      <rPr>
        <b/>
        <sz val="22"/>
        <color rgb="FF000000"/>
        <rFont val="Calibri"/>
        <family val="2"/>
      </rPr>
      <t>DMA</t>
    </r>
    <r>
      <rPr>
        <sz val="22"/>
        <color rgb="FF000000"/>
        <rFont val="Calibri"/>
        <family val="2"/>
      </rPr>
      <t xml:space="preserve"> CFD - LONG</t>
    </r>
  </si>
  <si>
    <t>Index Component Stocks</t>
  </si>
  <si>
    <t>Days held</t>
  </si>
  <si>
    <t>Financing charge 4.5% pa</t>
  </si>
  <si>
    <t>Total Proceeds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</si>
  <si>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</si>
  <si>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</si>
  <si>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t>NON Index Component Stocks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</si>
  <si>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</si>
  <si>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</si>
  <si>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b/>
        <sz val="22"/>
        <color rgb="FF000000"/>
        <rFont val="Calibri"/>
        <family val="2"/>
      </rPr>
      <t>Shares</t>
    </r>
    <r>
      <rPr>
        <sz val="22"/>
        <color rgb="FF000000"/>
        <rFont val="Calibri"/>
        <family val="2"/>
      </rPr>
      <t xml:space="preserve"> CFD - SHORT</t>
    </r>
  </si>
  <si>
    <r>
      <rPr>
        <b/>
        <sz val="22"/>
        <color rgb="FF000000"/>
        <rFont val="Calibri"/>
        <family val="2"/>
      </rPr>
      <t>DMA</t>
    </r>
    <r>
      <rPr>
        <sz val="22"/>
        <color rgb="FF000000"/>
        <rFont val="Calibri"/>
        <family val="2"/>
      </rPr>
      <t xml:space="preserve"> CFD - SHORT</t>
    </r>
  </si>
  <si>
    <t>Financing charge (pa)</t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</si>
  <si>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</si>
  <si>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</si>
  <si>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</si>
  <si>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r>
      <rPr>
        <sz val="11"/>
        <color theme="1"/>
        <rFont val="Calibri"/>
        <family val="2"/>
      </rPr>
      <t>Profit/</t>
    </r>
    <r>
      <rPr>
        <sz val="10"/>
        <color rgb="FFFF0000"/>
        <rFont val="Arial"/>
        <family val="2"/>
      </rPr>
      <t>(Loss)</t>
    </r>
  </si>
  <si>
    <t>Foreign Markets</t>
  </si>
  <si>
    <t>HONG KONG CFD LONG</t>
  </si>
  <si>
    <t>HONG KONG CFD SHORT</t>
  </si>
  <si>
    <t>Financing charge Estimated</t>
  </si>
  <si>
    <t>US CFD LONG</t>
  </si>
  <si>
    <t>US CFD SHORT</t>
  </si>
  <si>
    <r>
      <t xml:space="preserve">Profit &amp; Loss Calculator - Copyright© by Joey Choy
</t>
    </r>
    <r>
      <rPr>
        <sz val="16"/>
        <color rgb="FF000000"/>
        <rFont val="Calibri"/>
        <family val="2"/>
      </rPr>
      <t>Joey's Team Contact: 8690 4667, 8661 9632, 8770 7330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</si>
</sst>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0.000%"/>
    <numFmt numFmtId="166" formatCode="0.0000%"/>
    <numFmt numFmtId="167" formatCode="&quot;$&quot;#,##0.00"/>
    <numFmt numFmtId="168" formatCode="&quot;$&quot;#,##0.00000"/>
    <numFmt numFmtId="169" formatCode="0.00000"/>
    <numFmt numFmtId="170" formatCode="#,##0.0000"/>
    <numFmt numFmtId="171" formatCode="[$US$]#,##0.00"/>
  </numFmts>
  <fonts count="27" x14ac:knownFonts="1">
    <font>
      <sz val="11"/>
      <color theme="1"/>
      <name val="Calibri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6"/>
      <color rgb="FFFF0000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sz val="16"/>
      <color theme="1"/>
      <name val="Calibri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22"/>
      <color theme="1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99"/>
        <bgColor rgb="FFFFFF99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rgb="FFFF0000"/>
      </patternFill>
    </fill>
    <fill>
      <patternFill patternType="solid">
        <fgColor rgb="FFF2DBDB"/>
        <bgColor rgb="FFF2DBDB"/>
      </patternFill>
    </fill>
    <fill>
      <patternFill patternType="solid">
        <fgColor rgb="FFB7B7B7"/>
        <bgColor rgb="FFB7B7B7"/>
      </patternFill>
    </fill>
    <fill>
      <patternFill patternType="solid">
        <fgColor rgb="FF008000"/>
        <bgColor rgb="FF008000"/>
      </patternFill>
    </fill>
    <fill>
      <patternFill patternType="solid">
        <fgColor rgb="FFC6D9F0"/>
        <bgColor rgb="FFC6D9F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0" fillId="0" borderId="0" xfId="0" applyFont="1"/>
    <xf numFmtId="0" fontId="7" fillId="0" borderId="0" xfId="0" applyFont="1" applyAlignment="1"/>
    <xf numFmtId="0" fontId="6" fillId="7" borderId="21" xfId="0" applyFont="1" applyFill="1" applyBorder="1" applyAlignment="1"/>
    <xf numFmtId="0" fontId="0" fillId="7" borderId="22" xfId="0" applyFont="1" applyFill="1" applyBorder="1" applyAlignment="1">
      <alignment horizontal="right"/>
    </xf>
    <xf numFmtId="0" fontId="6" fillId="7" borderId="22" xfId="0" applyFont="1" applyFill="1" applyBorder="1" applyAlignment="1">
      <alignment horizontal="center"/>
    </xf>
    <xf numFmtId="0" fontId="8" fillId="7" borderId="23" xfId="0" applyFont="1" applyFill="1" applyBorder="1" applyAlignment="1"/>
    <xf numFmtId="0" fontId="6" fillId="7" borderId="22" xfId="0" applyFont="1" applyFill="1" applyBorder="1" applyAlignment="1"/>
    <xf numFmtId="0" fontId="6" fillId="7" borderId="24" xfId="0" applyFont="1" applyFill="1" applyBorder="1" applyAlignment="1">
      <alignment horizontal="center"/>
    </xf>
    <xf numFmtId="3" fontId="0" fillId="3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3" borderId="22" xfId="0" applyNumberFormat="1" applyFont="1" applyFill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164" fontId="0" fillId="3" borderId="22" xfId="0" applyNumberFormat="1" applyFont="1" applyFill="1" applyBorder="1" applyAlignment="1">
      <alignment horizontal="center"/>
    </xf>
    <xf numFmtId="164" fontId="0" fillId="3" borderId="24" xfId="0" applyNumberFormat="1" applyFont="1" applyFill="1" applyBorder="1" applyAlignment="1">
      <alignment horizontal="center"/>
    </xf>
    <xf numFmtId="0" fontId="0" fillId="7" borderId="21" xfId="0" applyFont="1" applyFill="1" applyBorder="1" applyAlignment="1"/>
    <xf numFmtId="4" fontId="0" fillId="8" borderId="22" xfId="0" applyNumberFormat="1" applyFont="1" applyFill="1" applyBorder="1" applyAlignment="1">
      <alignment horizontal="center"/>
    </xf>
    <xf numFmtId="0" fontId="0" fillId="7" borderId="22" xfId="0" applyFont="1" applyFill="1" applyBorder="1" applyAlignment="1"/>
    <xf numFmtId="4" fontId="0" fillId="8" borderId="24" xfId="0" applyNumberFormat="1" applyFont="1" applyFill="1" applyBorder="1" applyAlignment="1">
      <alignment horizontal="center"/>
    </xf>
    <xf numFmtId="165" fontId="0" fillId="9" borderId="22" xfId="0" applyNumberFormat="1" applyFont="1" applyFill="1" applyBorder="1" applyAlignment="1">
      <alignment horizontal="right"/>
    </xf>
    <xf numFmtId="165" fontId="0" fillId="10" borderId="22" xfId="0" applyNumberFormat="1" applyFont="1" applyFill="1" applyBorder="1" applyAlignment="1">
      <alignment horizontal="right"/>
    </xf>
    <xf numFmtId="4" fontId="0" fillId="8" borderId="26" xfId="0" applyNumberFormat="1" applyFont="1" applyFill="1" applyBorder="1" applyAlignment="1">
      <alignment horizontal="center"/>
    </xf>
    <xf numFmtId="4" fontId="0" fillId="8" borderId="27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right"/>
    </xf>
    <xf numFmtId="4" fontId="9" fillId="8" borderId="28" xfId="0" applyNumberFormat="1" applyFont="1" applyFill="1" applyBorder="1" applyAlignment="1">
      <alignment horizontal="center"/>
    </xf>
    <xf numFmtId="4" fontId="9" fillId="8" borderId="29" xfId="0" applyNumberFormat="1" applyFont="1" applyFill="1" applyBorder="1" applyAlignment="1">
      <alignment horizontal="center"/>
    </xf>
    <xf numFmtId="166" fontId="0" fillId="8" borderId="22" xfId="0" applyNumberFormat="1" applyFont="1" applyFill="1" applyBorder="1" applyAlignment="1">
      <alignment horizontal="right"/>
    </xf>
    <xf numFmtId="10" fontId="0" fillId="8" borderId="22" xfId="0" applyNumberFormat="1" applyFont="1" applyFill="1" applyBorder="1" applyAlignment="1">
      <alignment horizontal="right"/>
    </xf>
    <xf numFmtId="10" fontId="0" fillId="0" borderId="0" xfId="0" applyNumberFormat="1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9" fillId="8" borderId="22" xfId="0" applyNumberFormat="1" applyFont="1" applyFill="1" applyBorder="1" applyAlignment="1">
      <alignment horizontal="center"/>
    </xf>
    <xf numFmtId="4" fontId="9" fillId="8" borderId="24" xfId="0" applyNumberFormat="1" applyFont="1" applyFill="1" applyBorder="1" applyAlignment="1">
      <alignment horizontal="center"/>
    </xf>
    <xf numFmtId="44" fontId="0" fillId="10" borderId="22" xfId="0" applyNumberFormat="1" applyFont="1" applyFill="1" applyBorder="1" applyAlignment="1">
      <alignment horizontal="right"/>
    </xf>
    <xf numFmtId="4" fontId="8" fillId="8" borderId="30" xfId="0" applyNumberFormat="1" applyFont="1" applyFill="1" applyBorder="1" applyAlignment="1">
      <alignment horizontal="center"/>
    </xf>
    <xf numFmtId="4" fontId="8" fillId="8" borderId="26" xfId="0" applyNumberFormat="1" applyFont="1" applyFill="1" applyBorder="1" applyAlignment="1">
      <alignment horizontal="center"/>
    </xf>
    <xf numFmtId="167" fontId="6" fillId="8" borderId="31" xfId="0" applyNumberFormat="1" applyFont="1" applyFill="1" applyBorder="1" applyAlignment="1">
      <alignment horizontal="center"/>
    </xf>
    <xf numFmtId="167" fontId="6" fillId="8" borderId="28" xfId="0" applyNumberFormat="1" applyFont="1" applyFill="1" applyBorder="1" applyAlignment="1">
      <alignment horizontal="center"/>
    </xf>
    <xf numFmtId="167" fontId="6" fillId="8" borderId="29" xfId="0" applyNumberFormat="1" applyFont="1" applyFill="1" applyBorder="1" applyAlignment="1">
      <alignment horizontal="center"/>
    </xf>
    <xf numFmtId="0" fontId="8" fillId="7" borderId="21" xfId="0" applyFont="1" applyFill="1" applyBorder="1" applyAlignment="1"/>
    <xf numFmtId="0" fontId="8" fillId="11" borderId="22" xfId="0" applyFont="1" applyFill="1" applyBorder="1" applyAlignment="1">
      <alignment horizontal="right"/>
    </xf>
    <xf numFmtId="8" fontId="6" fillId="11" borderId="22" xfId="0" applyNumberFormat="1" applyFont="1" applyFill="1" applyBorder="1" applyAlignment="1">
      <alignment horizontal="center"/>
    </xf>
    <xf numFmtId="0" fontId="8" fillId="11" borderId="23" xfId="0" applyFont="1" applyFill="1" applyBorder="1" applyAlignment="1"/>
    <xf numFmtId="0" fontId="8" fillId="11" borderId="22" xfId="0" applyFont="1" applyFill="1" applyBorder="1" applyAlignment="1"/>
    <xf numFmtId="8" fontId="6" fillId="11" borderId="24" xfId="0" applyNumberFormat="1" applyFont="1" applyFill="1" applyBorder="1" applyAlignment="1">
      <alignment horizontal="center"/>
    </xf>
    <xf numFmtId="168" fontId="0" fillId="3" borderId="22" xfId="0" applyNumberFormat="1" applyFont="1" applyFill="1" applyBorder="1" applyAlignment="1">
      <alignment horizontal="center"/>
    </xf>
    <xf numFmtId="168" fontId="0" fillId="3" borderId="22" xfId="0" applyNumberFormat="1" applyFont="1" applyFill="1" applyBorder="1" applyAlignment="1">
      <alignment horizontal="center"/>
    </xf>
    <xf numFmtId="164" fontId="0" fillId="3" borderId="22" xfId="0" applyNumberFormat="1" applyFont="1" applyFill="1" applyBorder="1" applyAlignment="1">
      <alignment horizontal="center"/>
    </xf>
    <xf numFmtId="4" fontId="8" fillId="7" borderId="23" xfId="0" applyNumberFormat="1" applyFont="1" applyFill="1" applyBorder="1" applyAlignment="1"/>
    <xf numFmtId="0" fontId="8" fillId="7" borderId="38" xfId="0" applyFont="1" applyFill="1" applyBorder="1" applyAlignment="1"/>
    <xf numFmtId="0" fontId="8" fillId="7" borderId="39" xfId="0" applyFont="1" applyFill="1" applyBorder="1" applyAlignment="1">
      <alignment horizontal="right"/>
    </xf>
    <xf numFmtId="0" fontId="8" fillId="7" borderId="39" xfId="0" applyFont="1" applyFill="1" applyBorder="1" applyAlignment="1"/>
    <xf numFmtId="0" fontId="8" fillId="7" borderId="40" xfId="0" applyFont="1" applyFill="1" applyBorder="1" applyAlignment="1"/>
    <xf numFmtId="0" fontId="8" fillId="7" borderId="41" xfId="0" applyFont="1" applyFill="1" applyBorder="1" applyAlignment="1"/>
    <xf numFmtId="0" fontId="8" fillId="7" borderId="24" xfId="0" applyFont="1" applyFill="1" applyBorder="1" applyAlignment="1"/>
    <xf numFmtId="165" fontId="0" fillId="12" borderId="22" xfId="0" applyNumberFormat="1" applyFont="1" applyFill="1" applyBorder="1" applyAlignment="1">
      <alignment horizontal="right"/>
    </xf>
    <xf numFmtId="165" fontId="11" fillId="12" borderId="22" xfId="0" applyNumberFormat="1" applyFont="1" applyFill="1" applyBorder="1" applyAlignment="1">
      <alignment horizontal="right"/>
    </xf>
    <xf numFmtId="165" fontId="0" fillId="8" borderId="22" xfId="0" applyNumberFormat="1" applyFont="1" applyFill="1" applyBorder="1" applyAlignment="1">
      <alignment horizontal="right"/>
    </xf>
    <xf numFmtId="0" fontId="0" fillId="0" borderId="45" xfId="0" applyFont="1" applyBorder="1" applyAlignment="1"/>
    <xf numFmtId="4" fontId="9" fillId="0" borderId="46" xfId="0" applyNumberFormat="1" applyFont="1" applyBorder="1" applyAlignment="1">
      <alignment horizontal="center"/>
    </xf>
    <xf numFmtId="0" fontId="0" fillId="0" borderId="0" xfId="0" applyFont="1" applyAlignment="1"/>
    <xf numFmtId="0" fontId="6" fillId="7" borderId="24" xfId="0" applyFont="1" applyFill="1" applyBorder="1" applyAlignment="1"/>
    <xf numFmtId="0" fontId="8" fillId="3" borderId="24" xfId="0" applyFont="1" applyFill="1" applyBorder="1" applyAlignment="1"/>
    <xf numFmtId="0" fontId="0" fillId="7" borderId="38" xfId="0" applyFont="1" applyFill="1" applyBorder="1" applyAlignment="1"/>
    <xf numFmtId="0" fontId="0" fillId="0" borderId="10" xfId="0" applyFont="1" applyBorder="1" applyAlignment="1"/>
    <xf numFmtId="0" fontId="0" fillId="0" borderId="49" xfId="0" applyFont="1" applyBorder="1" applyAlignment="1"/>
    <xf numFmtId="0" fontId="6" fillId="0" borderId="0" xfId="0" applyFont="1" applyAlignment="1"/>
    <xf numFmtId="2" fontId="0" fillId="0" borderId="0" xfId="0" applyNumberFormat="1" applyFont="1" applyAlignment="1"/>
    <xf numFmtId="0" fontId="12" fillId="0" borderId="0" xfId="0" applyFont="1" applyAlignment="1"/>
    <xf numFmtId="0" fontId="0" fillId="14" borderId="51" xfId="0" applyFont="1" applyFill="1" applyBorder="1" applyAlignment="1"/>
    <xf numFmtId="0" fontId="13" fillId="0" borderId="0" xfId="0" applyFont="1" applyAlignment="1"/>
    <xf numFmtId="0" fontId="0" fillId="3" borderId="51" xfId="0" applyFont="1" applyFill="1" applyBorder="1" applyAlignment="1"/>
    <xf numFmtId="169" fontId="0" fillId="3" borderId="51" xfId="0" applyNumberFormat="1" applyFont="1" applyFill="1" applyBorder="1" applyAlignment="1"/>
    <xf numFmtId="0" fontId="8" fillId="0" borderId="0" xfId="0" applyFont="1" applyAlignment="1"/>
    <xf numFmtId="0" fontId="5" fillId="0" borderId="51" xfId="0" applyFont="1" applyBorder="1" applyAlignment="1"/>
    <xf numFmtId="0" fontId="0" fillId="0" borderId="51" xfId="0" applyFont="1" applyBorder="1" applyAlignment="1"/>
    <xf numFmtId="0" fontId="5" fillId="14" borderId="51" xfId="0" applyFont="1" applyFill="1" applyBorder="1" applyAlignment="1"/>
    <xf numFmtId="2" fontId="8" fillId="0" borderId="0" xfId="0" applyNumberFormat="1" applyFont="1" applyAlignment="1"/>
    <xf numFmtId="0" fontId="15" fillId="7" borderId="0" xfId="0" applyFont="1" applyFill="1" applyAlignment="1"/>
    <xf numFmtId="0" fontId="0" fillId="7" borderId="0" xfId="0" applyFont="1" applyFill="1" applyAlignment="1"/>
    <xf numFmtId="0" fontId="15" fillId="7" borderId="0" xfId="0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6" fillId="7" borderId="0" xfId="0" applyFont="1" applyFill="1" applyAlignment="1"/>
    <xf numFmtId="4" fontId="16" fillId="8" borderId="0" xfId="0" applyNumberFormat="1" applyFont="1" applyFill="1" applyAlignment="1">
      <alignment horizontal="center"/>
    </xf>
    <xf numFmtId="10" fontId="17" fillId="9" borderId="0" xfId="0" applyNumberFormat="1" applyFont="1" applyFill="1" applyAlignment="1">
      <alignment horizontal="right"/>
    </xf>
    <xf numFmtId="170" fontId="16" fillId="8" borderId="0" xfId="0" applyNumberFormat="1" applyFont="1" applyFill="1" applyAlignment="1">
      <alignment horizontal="center"/>
    </xf>
    <xf numFmtId="165" fontId="16" fillId="10" borderId="0" xfId="0" applyNumberFormat="1" applyFont="1" applyFill="1" applyAlignment="1">
      <alignment horizontal="right"/>
    </xf>
    <xf numFmtId="165" fontId="0" fillId="0" borderId="0" xfId="0" applyNumberFormat="1" applyFont="1" applyAlignment="1"/>
    <xf numFmtId="4" fontId="18" fillId="8" borderId="52" xfId="0" applyNumberFormat="1" applyFont="1" applyFill="1" applyBorder="1" applyAlignment="1">
      <alignment horizontal="center"/>
    </xf>
    <xf numFmtId="170" fontId="18" fillId="8" borderId="52" xfId="0" applyNumberFormat="1" applyFont="1" applyFill="1" applyBorder="1" applyAlignment="1">
      <alignment horizontal="center"/>
    </xf>
    <xf numFmtId="166" fontId="16" fillId="8" borderId="0" xfId="0" applyNumberFormat="1" applyFont="1" applyFill="1" applyAlignment="1">
      <alignment horizontal="right"/>
    </xf>
    <xf numFmtId="10" fontId="16" fillId="8" borderId="0" xfId="0" applyNumberFormat="1" applyFont="1" applyFill="1" applyAlignment="1">
      <alignment horizontal="right"/>
    </xf>
    <xf numFmtId="10" fontId="0" fillId="0" borderId="0" xfId="0" applyNumberFormat="1" applyFont="1" applyAlignment="1"/>
    <xf numFmtId="166" fontId="0" fillId="0" borderId="0" xfId="0" applyNumberFormat="1" applyFont="1" applyAlignment="1"/>
    <xf numFmtId="167" fontId="19" fillId="8" borderId="0" xfId="0" applyNumberFormat="1" applyFont="1" applyFill="1" applyAlignment="1">
      <alignment horizontal="center"/>
    </xf>
    <xf numFmtId="167" fontId="18" fillId="8" borderId="53" xfId="0" applyNumberFormat="1" applyFont="1" applyFill="1" applyBorder="1" applyAlignment="1">
      <alignment horizontal="center"/>
    </xf>
    <xf numFmtId="0" fontId="16" fillId="7" borderId="0" xfId="0" applyFont="1" applyFill="1" applyAlignment="1"/>
    <xf numFmtId="167" fontId="15" fillId="8" borderId="54" xfId="0" applyNumberFormat="1" applyFont="1" applyFill="1" applyBorder="1" applyAlignment="1">
      <alignment horizontal="center"/>
    </xf>
    <xf numFmtId="0" fontId="15" fillId="7" borderId="0" xfId="0" applyFont="1" applyFill="1" applyAlignment="1"/>
    <xf numFmtId="0" fontId="15" fillId="7" borderId="0" xfId="0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6" fillId="7" borderId="0" xfId="0" applyFont="1" applyFill="1" applyAlignment="1"/>
    <xf numFmtId="4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 applyAlignment="1">
      <alignment horizontal="center"/>
    </xf>
    <xf numFmtId="4" fontId="18" fillId="8" borderId="0" xfId="0" applyNumberFormat="1" applyFont="1" applyFill="1" applyAlignment="1">
      <alignment horizontal="center"/>
    </xf>
    <xf numFmtId="0" fontId="16" fillId="7" borderId="0" xfId="0" applyFont="1" applyFill="1" applyAlignment="1"/>
    <xf numFmtId="0" fontId="17" fillId="0" borderId="0" xfId="0" applyFont="1" applyAlignment="1"/>
    <xf numFmtId="0" fontId="16" fillId="3" borderId="0" xfId="0" applyFont="1" applyFill="1" applyAlignment="1">
      <alignment horizontal="right"/>
    </xf>
    <xf numFmtId="0" fontId="0" fillId="0" borderId="0" xfId="0" applyFont="1" applyAlignment="1"/>
    <xf numFmtId="10" fontId="17" fillId="3" borderId="0" xfId="0" applyNumberFormat="1" applyFont="1" applyFill="1" applyAlignment="1">
      <alignment horizontal="right"/>
    </xf>
    <xf numFmtId="4" fontId="18" fillId="8" borderId="53" xfId="0" applyNumberFormat="1" applyFont="1" applyFill="1" applyBorder="1" applyAlignment="1">
      <alignment horizontal="center"/>
    </xf>
    <xf numFmtId="10" fontId="16" fillId="15" borderId="0" xfId="0" applyNumberFormat="1" applyFont="1" applyFill="1" applyAlignment="1">
      <alignment horizontal="right"/>
    </xf>
    <xf numFmtId="167" fontId="15" fillId="8" borderId="0" xfId="0" applyNumberFormat="1" applyFont="1" applyFill="1" applyAlignment="1">
      <alignment horizontal="center"/>
    </xf>
    <xf numFmtId="165" fontId="16" fillId="15" borderId="0" xfId="0" applyNumberFormat="1" applyFont="1" applyFill="1" applyAlignment="1">
      <alignment horizontal="right"/>
    </xf>
    <xf numFmtId="167" fontId="18" fillId="8" borderId="0" xfId="0" applyNumberFormat="1" applyFont="1" applyFill="1" applyAlignment="1">
      <alignment horizontal="center"/>
    </xf>
    <xf numFmtId="0" fontId="5" fillId="0" borderId="25" xfId="0" applyFont="1" applyBorder="1" applyAlignment="1"/>
    <xf numFmtId="0" fontId="0" fillId="3" borderId="24" xfId="0" applyFont="1" applyFill="1" applyBorder="1" applyAlignment="1"/>
    <xf numFmtId="0" fontId="0" fillId="0" borderId="25" xfId="0" applyFont="1" applyBorder="1" applyAlignment="1"/>
    <xf numFmtId="4" fontId="0" fillId="0" borderId="0" xfId="0" applyNumberFormat="1" applyFont="1" applyAlignment="1"/>
    <xf numFmtId="9" fontId="11" fillId="3" borderId="24" xfId="0" applyNumberFormat="1" applyFont="1" applyFill="1" applyBorder="1" applyAlignment="1">
      <alignment horizontal="center" vertical="top" wrapText="1"/>
    </xf>
    <xf numFmtId="9" fontId="11" fillId="3" borderId="24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5" fillId="7" borderId="70" xfId="0" applyFont="1" applyFill="1" applyBorder="1" applyAlignment="1"/>
    <xf numFmtId="0" fontId="17" fillId="0" borderId="71" xfId="0" applyFont="1" applyBorder="1" applyAlignment="1"/>
    <xf numFmtId="0" fontId="16" fillId="3" borderId="71" xfId="0" applyFont="1" applyFill="1" applyBorder="1" applyAlignment="1">
      <alignment horizontal="right"/>
    </xf>
    <xf numFmtId="0" fontId="0" fillId="0" borderId="71" xfId="0" applyFont="1" applyBorder="1" applyAlignment="1"/>
    <xf numFmtId="0" fontId="16" fillId="7" borderId="70" xfId="0" applyFont="1" applyFill="1" applyBorder="1" applyAlignment="1"/>
    <xf numFmtId="165" fontId="16" fillId="9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0" fontId="16" fillId="0" borderId="71" xfId="0" applyFont="1" applyBorder="1" applyAlignment="1">
      <alignment horizontal="right"/>
    </xf>
    <xf numFmtId="0" fontId="16" fillId="7" borderId="72" xfId="0" applyFont="1" applyFill="1" applyBorder="1" applyAlignment="1"/>
    <xf numFmtId="0" fontId="0" fillId="0" borderId="73" xfId="0" applyFont="1" applyBorder="1" applyAlignment="1"/>
    <xf numFmtId="0" fontId="0" fillId="0" borderId="74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5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6" fillId="6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6" fillId="6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8" fontId="6" fillId="8" borderId="32" xfId="0" applyNumberFormat="1" applyFont="1" applyFill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6" fillId="5" borderId="35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8" fontId="0" fillId="13" borderId="47" xfId="0" applyNumberFormat="1" applyFont="1" applyFill="1" applyBorder="1" applyAlignment="1">
      <alignment horizontal="center"/>
    </xf>
    <xf numFmtId="0" fontId="2" fillId="0" borderId="48" xfId="0" applyFont="1" applyBorder="1"/>
    <xf numFmtId="0" fontId="6" fillId="14" borderId="50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8" fontId="15" fillId="8" borderId="0" xfId="0" applyNumberFormat="1" applyFont="1" applyFill="1" applyAlignment="1">
      <alignment horizontal="center"/>
    </xf>
    <xf numFmtId="0" fontId="10" fillId="9" borderId="55" xfId="0" applyFont="1" applyFill="1" applyBorder="1" applyAlignment="1">
      <alignment horizontal="center" vertical="center"/>
    </xf>
    <xf numFmtId="0" fontId="2" fillId="0" borderId="56" xfId="0" applyFont="1" applyBorder="1"/>
    <xf numFmtId="0" fontId="10" fillId="9" borderId="0" xfId="0" applyFont="1" applyFill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2" fillId="0" borderId="57" xfId="0" applyFont="1" applyBorder="1"/>
    <xf numFmtId="0" fontId="2" fillId="0" borderId="58" xfId="0" applyFont="1" applyBorder="1"/>
    <xf numFmtId="0" fontId="2" fillId="0" borderId="49" xfId="0" applyFont="1" applyBorder="1"/>
    <xf numFmtId="0" fontId="20" fillId="16" borderId="59" xfId="0" applyFont="1" applyFill="1" applyBorder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5" fillId="9" borderId="63" xfId="0" applyFont="1" applyFill="1" applyBorder="1" applyAlignment="1">
      <alignment horizontal="center"/>
    </xf>
    <xf numFmtId="0" fontId="2" fillId="0" borderId="64" xfId="0" applyFont="1" applyBorder="1"/>
    <xf numFmtId="0" fontId="11" fillId="17" borderId="65" xfId="0" applyFont="1" applyFill="1" applyBorder="1" applyAlignment="1">
      <alignment horizontal="center" wrapText="1"/>
    </xf>
    <xf numFmtId="0" fontId="2" fillId="0" borderId="66" xfId="0" applyFont="1" applyBorder="1"/>
    <xf numFmtId="4" fontId="5" fillId="0" borderId="0" xfId="0" applyNumberFormat="1" applyFont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20" fillId="13" borderId="55" xfId="0" applyFont="1" applyFill="1" applyBorder="1" applyAlignment="1">
      <alignment horizontal="center"/>
    </xf>
    <xf numFmtId="0" fontId="11" fillId="17" borderId="65" xfId="0" applyFont="1" applyFill="1" applyBorder="1" applyAlignment="1">
      <alignment horizontal="center" vertical="top" wrapText="1"/>
    </xf>
    <xf numFmtId="4" fontId="17" fillId="0" borderId="73" xfId="0" applyNumberFormat="1" applyFont="1" applyBorder="1" applyAlignment="1">
      <alignment horizontal="center"/>
    </xf>
    <xf numFmtId="0" fontId="2" fillId="0" borderId="73" xfId="0" applyFont="1" applyBorder="1"/>
    <xf numFmtId="0" fontId="17" fillId="20" borderId="67" xfId="0" applyFont="1" applyFill="1" applyBorder="1" applyAlignment="1">
      <alignment horizontal="center"/>
    </xf>
    <xf numFmtId="0" fontId="2" fillId="0" borderId="68" xfId="0" applyFont="1" applyBorder="1"/>
    <xf numFmtId="0" fontId="2" fillId="0" borderId="69" xfId="0" applyFont="1" applyBorder="1"/>
    <xf numFmtId="0" fontId="21" fillId="17" borderId="71" xfId="0" applyFont="1" applyFill="1" applyBorder="1" applyAlignment="1">
      <alignment horizontal="center" wrapText="1"/>
    </xf>
    <xf numFmtId="0" fontId="2" fillId="0" borderId="71" xfId="0" applyFont="1" applyBorder="1"/>
    <xf numFmtId="171" fontId="17" fillId="0" borderId="73" xfId="0" applyNumberFormat="1" applyFont="1" applyBorder="1" applyAlignment="1">
      <alignment horizontal="center"/>
    </xf>
    <xf numFmtId="0" fontId="17" fillId="19" borderId="67" xfId="0" applyFont="1" applyFill="1" applyBorder="1" applyAlignment="1">
      <alignment horizontal="center"/>
    </xf>
    <xf numFmtId="0" fontId="20" fillId="1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R19" sqref="R19"/>
    </sheetView>
  </sheetViews>
  <sheetFormatPr defaultColWidth="14.42578125" defaultRowHeight="15" customHeight="1" x14ac:dyDescent="0.25"/>
  <cols>
    <col min="1" max="1" width="18.85546875" customWidth="1"/>
    <col min="2" max="2" width="8" customWidth="1"/>
    <col min="3" max="3" width="13.140625" customWidth="1"/>
    <col min="4" max="4" width="13" customWidth="1"/>
    <col min="5" max="5" width="13.140625" customWidth="1"/>
    <col min="6" max="6" width="19.28515625" customWidth="1"/>
    <col min="7" max="7" width="14.7109375" customWidth="1"/>
    <col min="8" max="8" width="12.42578125" customWidth="1"/>
    <col min="9" max="9" width="13" customWidth="1"/>
    <col min="10" max="10" width="11.140625" customWidth="1"/>
    <col min="11" max="11" width="20.28515625" customWidth="1"/>
    <col min="12" max="12" width="9.140625" customWidth="1"/>
    <col min="13" max="13" width="13.140625" customWidth="1"/>
    <col min="14" max="14" width="13.85546875" customWidth="1"/>
    <col min="15" max="26" width="8" customWidth="1"/>
  </cols>
  <sheetData>
    <row r="1" spans="1:26" ht="12" customHeight="1" x14ac:dyDescent="0.25">
      <c r="A1" s="134" t="s">
        <v>79</v>
      </c>
      <c r="B1" s="135"/>
      <c r="C1" s="135"/>
      <c r="D1" s="135"/>
      <c r="E1" s="135"/>
      <c r="F1" s="135"/>
      <c r="G1" s="135"/>
      <c r="H1" s="136"/>
      <c r="I1" s="1"/>
      <c r="J1" s="143" t="s">
        <v>0</v>
      </c>
      <c r="K1" s="135"/>
      <c r="L1" s="135"/>
      <c r="M1" s="135"/>
      <c r="N1" s="13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37"/>
      <c r="B2" s="138"/>
      <c r="C2" s="138"/>
      <c r="D2" s="138"/>
      <c r="E2" s="138"/>
      <c r="F2" s="138"/>
      <c r="G2" s="138"/>
      <c r="H2" s="139"/>
      <c r="I2" s="1"/>
      <c r="J2" s="137"/>
      <c r="K2" s="138"/>
      <c r="L2" s="138"/>
      <c r="M2" s="138"/>
      <c r="N2" s="13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37"/>
      <c r="B3" s="138"/>
      <c r="C3" s="138"/>
      <c r="D3" s="138"/>
      <c r="E3" s="138"/>
      <c r="F3" s="138"/>
      <c r="G3" s="138"/>
      <c r="H3" s="139"/>
      <c r="I3" s="1"/>
      <c r="J3" s="137"/>
      <c r="K3" s="138"/>
      <c r="L3" s="138"/>
      <c r="M3" s="138"/>
      <c r="N3" s="13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40"/>
      <c r="B4" s="141"/>
      <c r="C4" s="141"/>
      <c r="D4" s="141"/>
      <c r="E4" s="141"/>
      <c r="F4" s="141"/>
      <c r="G4" s="141"/>
      <c r="H4" s="142"/>
      <c r="I4" s="1"/>
      <c r="J4" s="140"/>
      <c r="K4" s="141"/>
      <c r="L4" s="141"/>
      <c r="M4" s="141"/>
      <c r="N4" s="1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44" t="s">
        <v>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148" t="s">
        <v>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</row>
    <row r="9" spans="1:26" ht="12" customHeight="1" x14ac:dyDescent="0.25">
      <c r="A9" s="151" t="s">
        <v>3</v>
      </c>
      <c r="B9" s="152"/>
      <c r="C9" s="152"/>
      <c r="D9" s="152"/>
      <c r="E9" s="153"/>
      <c r="F9" s="154" t="s">
        <v>4</v>
      </c>
      <c r="G9" s="152"/>
      <c r="H9" s="152"/>
      <c r="I9" s="155"/>
      <c r="J9" s="2"/>
      <c r="K9" s="154" t="s">
        <v>5</v>
      </c>
      <c r="L9" s="152"/>
      <c r="M9" s="152"/>
      <c r="N9" s="156"/>
    </row>
    <row r="10" spans="1:26" ht="12" customHeight="1" x14ac:dyDescent="0.25">
      <c r="A10" s="3" t="s">
        <v>6</v>
      </c>
      <c r="B10" s="4"/>
      <c r="C10" s="5" t="s">
        <v>7</v>
      </c>
      <c r="D10" s="5" t="s">
        <v>8</v>
      </c>
      <c r="E10" s="6"/>
      <c r="F10" s="7" t="s">
        <v>6</v>
      </c>
      <c r="G10" s="4"/>
      <c r="H10" s="5" t="s">
        <v>7</v>
      </c>
      <c r="I10" s="5" t="s">
        <v>8</v>
      </c>
      <c r="J10" s="6"/>
      <c r="K10" s="7" t="s">
        <v>6</v>
      </c>
      <c r="L10" s="4"/>
      <c r="M10" s="5" t="s">
        <v>7</v>
      </c>
      <c r="N10" s="8" t="s">
        <v>8</v>
      </c>
    </row>
    <row r="11" spans="1:26" ht="12" customHeight="1" x14ac:dyDescent="0.25">
      <c r="A11" s="3" t="s">
        <v>9</v>
      </c>
      <c r="B11" s="4"/>
      <c r="C11" s="9">
        <v>1000</v>
      </c>
      <c r="D11" s="10">
        <f>C11</f>
        <v>1000</v>
      </c>
      <c r="E11" s="6"/>
      <c r="F11" s="7" t="s">
        <v>9</v>
      </c>
      <c r="G11" s="4"/>
      <c r="H11" s="9">
        <v>30000</v>
      </c>
      <c r="I11" s="10">
        <f>H11</f>
        <v>30000</v>
      </c>
      <c r="J11" s="6"/>
      <c r="K11" s="7" t="s">
        <v>9</v>
      </c>
      <c r="L11" s="4"/>
      <c r="M11" s="11">
        <v>10000</v>
      </c>
      <c r="N11" s="12">
        <f>M11</f>
        <v>10000</v>
      </c>
    </row>
    <row r="12" spans="1:26" ht="12" customHeight="1" x14ac:dyDescent="0.25">
      <c r="A12" s="3" t="s">
        <v>10</v>
      </c>
      <c r="B12" s="4"/>
      <c r="C12" s="13">
        <v>12.08</v>
      </c>
      <c r="D12" s="13">
        <v>12.5</v>
      </c>
      <c r="E12" s="6"/>
      <c r="F12" s="7" t="s">
        <v>10</v>
      </c>
      <c r="G12" s="4"/>
      <c r="H12" s="13">
        <v>1.1599999999999999</v>
      </c>
      <c r="I12" s="13">
        <v>1.1000000000000001</v>
      </c>
      <c r="J12" s="6"/>
      <c r="K12" s="7" t="s">
        <v>10</v>
      </c>
      <c r="L12" s="4"/>
      <c r="M12" s="13">
        <v>2.11</v>
      </c>
      <c r="N12" s="14">
        <v>1.619</v>
      </c>
    </row>
    <row r="13" spans="1:26" ht="12" customHeight="1" x14ac:dyDescent="0.25">
      <c r="A13" s="15" t="s">
        <v>11</v>
      </c>
      <c r="B13" s="4"/>
      <c r="C13" s="16">
        <f t="shared" ref="C13:D13" si="0">C11*C12</f>
        <v>12080</v>
      </c>
      <c r="D13" s="16">
        <f t="shared" si="0"/>
        <v>12500</v>
      </c>
      <c r="E13" s="6"/>
      <c r="F13" s="17" t="s">
        <v>11</v>
      </c>
      <c r="G13" s="4"/>
      <c r="H13" s="16">
        <f t="shared" ref="H13:I13" si="1">H11*H12</f>
        <v>34800</v>
      </c>
      <c r="I13" s="16">
        <f t="shared" si="1"/>
        <v>33000</v>
      </c>
      <c r="J13" s="6"/>
      <c r="K13" s="17" t="s">
        <v>11</v>
      </c>
      <c r="L13" s="4"/>
      <c r="M13" s="16">
        <f t="shared" ref="M13:N13" si="2">M11*M12</f>
        <v>21100</v>
      </c>
      <c r="N13" s="18">
        <f t="shared" si="2"/>
        <v>16190</v>
      </c>
    </row>
    <row r="14" spans="1:26" ht="12" customHeight="1" x14ac:dyDescent="0.25">
      <c r="A14" s="15" t="s">
        <v>12</v>
      </c>
      <c r="B14" s="19">
        <v>5.0000000000000001E-3</v>
      </c>
      <c r="C14" s="16">
        <f>IF(B14*C13&lt;40,40,B14*C13)</f>
        <v>60.4</v>
      </c>
      <c r="D14" s="16">
        <f>IF(B14*D13&lt;40,40,B14*D13)</f>
        <v>62.5</v>
      </c>
      <c r="E14" s="6"/>
      <c r="F14" s="17" t="s">
        <v>12</v>
      </c>
      <c r="G14" s="19">
        <v>4.0000000000000001E-3</v>
      </c>
      <c r="H14" s="16">
        <f>IF(G14*H13&lt;40,40,G14*H13)</f>
        <v>139.20000000000002</v>
      </c>
      <c r="I14" s="16">
        <f>IF(G14*I13&lt;40,40,G14*I13)</f>
        <v>132</v>
      </c>
      <c r="J14" s="6"/>
      <c r="K14" s="17" t="s">
        <v>12</v>
      </c>
      <c r="L14" s="19">
        <v>2.5000000000000001E-3</v>
      </c>
      <c r="M14" s="16">
        <f>IF(L14*M13&lt;40,40,L14*M13)</f>
        <v>52.75</v>
      </c>
      <c r="N14" s="18">
        <f>IF(L14*N13&lt;40,40,L14*N13)</f>
        <v>40.475000000000001</v>
      </c>
    </row>
    <row r="15" spans="1:26" ht="12" customHeight="1" x14ac:dyDescent="0.25">
      <c r="A15" s="15" t="s">
        <v>13</v>
      </c>
      <c r="B15" s="20">
        <v>7.0000000000000007E-2</v>
      </c>
      <c r="C15" s="21">
        <f>C14*B15</f>
        <v>4.2280000000000006</v>
      </c>
      <c r="D15" s="21">
        <f>D14*B15</f>
        <v>4.375</v>
      </c>
      <c r="E15" s="6"/>
      <c r="F15" s="17" t="s">
        <v>13</v>
      </c>
      <c r="G15" s="20">
        <v>7.0000000000000007E-2</v>
      </c>
      <c r="H15" s="21">
        <f>H14*G15</f>
        <v>9.7440000000000015</v>
      </c>
      <c r="I15" s="21">
        <f>I14*G15</f>
        <v>9.24</v>
      </c>
      <c r="J15" s="6"/>
      <c r="K15" s="17" t="s">
        <v>13</v>
      </c>
      <c r="L15" s="20">
        <v>7.0000000000000007E-2</v>
      </c>
      <c r="M15" s="21">
        <f>M14*L15</f>
        <v>3.6925000000000003</v>
      </c>
      <c r="N15" s="22">
        <f>N14*L15</f>
        <v>2.8332500000000005</v>
      </c>
    </row>
    <row r="16" spans="1:26" ht="15.75" customHeight="1" x14ac:dyDescent="0.25">
      <c r="A16" s="15"/>
      <c r="B16" s="23"/>
      <c r="C16" s="24">
        <f t="shared" ref="C16:D16" si="3">SUM(C14:C15)</f>
        <v>64.628</v>
      </c>
      <c r="D16" s="24">
        <f t="shared" si="3"/>
        <v>66.875</v>
      </c>
      <c r="E16" s="6"/>
      <c r="F16" s="17"/>
      <c r="G16" s="23"/>
      <c r="H16" s="24">
        <f t="shared" ref="H16:I16" si="4">SUM(H14:H15)</f>
        <v>148.94400000000002</v>
      </c>
      <c r="I16" s="24">
        <f t="shared" si="4"/>
        <v>141.24</v>
      </c>
      <c r="J16" s="6"/>
      <c r="K16" s="17"/>
      <c r="L16" s="23"/>
      <c r="M16" s="24">
        <f t="shared" ref="M16:N16" si="5">SUM(M14:M15)</f>
        <v>56.442500000000003</v>
      </c>
      <c r="N16" s="25">
        <f t="shared" si="5"/>
        <v>43.308250000000001</v>
      </c>
    </row>
    <row r="17" spans="1:26" ht="12" customHeight="1" x14ac:dyDescent="0.25">
      <c r="A17" s="15" t="s">
        <v>14</v>
      </c>
      <c r="B17" s="26">
        <v>3.2499999999999999E-4</v>
      </c>
      <c r="C17" s="16">
        <f>B17*C13</f>
        <v>3.9259999999999997</v>
      </c>
      <c r="D17" s="16">
        <f>B17*D13</f>
        <v>4.0625</v>
      </c>
      <c r="E17" s="6"/>
      <c r="F17" s="17" t="s">
        <v>14</v>
      </c>
      <c r="G17" s="26">
        <v>3.2499999999999999E-4</v>
      </c>
      <c r="H17" s="16">
        <f>G17*H13</f>
        <v>11.309999999999999</v>
      </c>
      <c r="I17" s="16">
        <f>G17*I13</f>
        <v>10.725</v>
      </c>
      <c r="J17" s="6"/>
      <c r="K17" s="17" t="s">
        <v>14</v>
      </c>
      <c r="L17" s="26">
        <v>3.2499999999999999E-4</v>
      </c>
      <c r="M17" s="16">
        <f>L17*M13</f>
        <v>6.8574999999999999</v>
      </c>
      <c r="N17" s="18">
        <f>L17*N13</f>
        <v>5.2617500000000001</v>
      </c>
    </row>
    <row r="18" spans="1:26" ht="12" customHeight="1" x14ac:dyDescent="0.25">
      <c r="A18" s="15" t="s">
        <v>13</v>
      </c>
      <c r="B18" s="27">
        <v>7.0000000000000007E-2</v>
      </c>
      <c r="C18" s="21">
        <f>C17*B18</f>
        <v>0.27482000000000001</v>
      </c>
      <c r="D18" s="21">
        <f>D17*B18</f>
        <v>0.28437500000000004</v>
      </c>
      <c r="E18" s="6"/>
      <c r="F18" s="17" t="s">
        <v>13</v>
      </c>
      <c r="G18" s="27">
        <v>7.0000000000000007E-2</v>
      </c>
      <c r="H18" s="21">
        <f>H17*G18</f>
        <v>0.79169999999999996</v>
      </c>
      <c r="I18" s="21">
        <f>I17*G18</f>
        <v>0.75075000000000003</v>
      </c>
      <c r="J18" s="6"/>
      <c r="K18" s="17" t="s">
        <v>13</v>
      </c>
      <c r="L18" s="27">
        <v>7.0000000000000007E-2</v>
      </c>
      <c r="M18" s="21">
        <f>M17*L18</f>
        <v>0.48002500000000003</v>
      </c>
      <c r="N18" s="22">
        <f>N17*L18</f>
        <v>0.36832250000000005</v>
      </c>
    </row>
    <row r="19" spans="1:26" ht="12" customHeight="1" x14ac:dyDescent="0.25">
      <c r="A19" s="15"/>
      <c r="B19" s="28"/>
      <c r="C19" s="24">
        <f t="shared" ref="C19:D19" si="6">SUM(C17:C18)</f>
        <v>4.2008199999999993</v>
      </c>
      <c r="D19" s="24">
        <f t="shared" si="6"/>
        <v>4.3468749999999998</v>
      </c>
      <c r="E19" s="6"/>
      <c r="F19" s="17"/>
      <c r="G19" s="28"/>
      <c r="H19" s="24">
        <f t="shared" ref="H19:I19" si="7">SUM(H17:H18)</f>
        <v>12.101699999999999</v>
      </c>
      <c r="I19" s="24">
        <f t="shared" si="7"/>
        <v>11.47575</v>
      </c>
      <c r="J19" s="6"/>
      <c r="K19" s="17"/>
      <c r="L19" s="28"/>
      <c r="M19" s="24">
        <f t="shared" ref="M19:N19" si="8">SUM(M17:M18)</f>
        <v>7.3375250000000003</v>
      </c>
      <c r="N19" s="25">
        <f t="shared" si="8"/>
        <v>5.6300724999999998</v>
      </c>
    </row>
    <row r="20" spans="1:26" ht="12" customHeight="1" x14ac:dyDescent="0.25">
      <c r="A20" s="15" t="s">
        <v>15</v>
      </c>
      <c r="B20" s="26">
        <v>7.4999999999999993E-5</v>
      </c>
      <c r="C20" s="16">
        <f>B20*C13</f>
        <v>0.90599999999999992</v>
      </c>
      <c r="D20" s="16">
        <f>B20*D13</f>
        <v>0.93749999999999989</v>
      </c>
      <c r="E20" s="6"/>
      <c r="F20" s="17" t="s">
        <v>15</v>
      </c>
      <c r="G20" s="26">
        <v>7.4999999999999993E-5</v>
      </c>
      <c r="H20" s="16">
        <f>G20*H13</f>
        <v>2.61</v>
      </c>
      <c r="I20" s="16">
        <f>G20*I13</f>
        <v>2.4749999999999996</v>
      </c>
      <c r="J20" s="6"/>
      <c r="K20" s="17" t="s">
        <v>15</v>
      </c>
      <c r="L20" s="26">
        <v>7.4999999999999993E-5</v>
      </c>
      <c r="M20" s="16">
        <f>L20*M13</f>
        <v>1.5824999999999998</v>
      </c>
      <c r="N20" s="18">
        <f>L20*N13</f>
        <v>1.2142499999999998</v>
      </c>
    </row>
    <row r="21" spans="1:26" ht="12" customHeight="1" x14ac:dyDescent="0.25">
      <c r="A21" s="15" t="s">
        <v>13</v>
      </c>
      <c r="B21" s="26">
        <v>7.0000000000000007E-2</v>
      </c>
      <c r="C21" s="21">
        <f>C20*B21</f>
        <v>6.3420000000000004E-2</v>
      </c>
      <c r="D21" s="21">
        <f>D20*B21</f>
        <v>6.5625000000000003E-2</v>
      </c>
      <c r="E21" s="6"/>
      <c r="F21" s="17" t="s">
        <v>13</v>
      </c>
      <c r="G21" s="26">
        <v>7.0000000000000007E-2</v>
      </c>
      <c r="H21" s="21">
        <f>H20*G21</f>
        <v>0.1827</v>
      </c>
      <c r="I21" s="21">
        <f>I20*G21</f>
        <v>0.17324999999999999</v>
      </c>
      <c r="J21" s="6"/>
      <c r="K21" s="17" t="s">
        <v>13</v>
      </c>
      <c r="L21" s="26">
        <v>7.0000000000000007E-2</v>
      </c>
      <c r="M21" s="21">
        <f>M20*L21</f>
        <v>0.110775</v>
      </c>
      <c r="N21" s="22">
        <f>N20*L21</f>
        <v>8.499749999999999E-2</v>
      </c>
    </row>
    <row r="22" spans="1:26" ht="12" customHeight="1" x14ac:dyDescent="0.25">
      <c r="A22" s="15"/>
      <c r="B22" s="29"/>
      <c r="C22" s="24">
        <f t="shared" ref="C22:D22" si="9">SUM(C20:C21)</f>
        <v>0.96941999999999995</v>
      </c>
      <c r="D22" s="24">
        <f t="shared" si="9"/>
        <v>1.0031249999999998</v>
      </c>
      <c r="E22" s="6"/>
      <c r="F22" s="17"/>
      <c r="G22" s="29"/>
      <c r="H22" s="30">
        <f t="shared" ref="H22:I22" si="10">SUM(H20:H21)</f>
        <v>2.7927</v>
      </c>
      <c r="I22" s="30">
        <f t="shared" si="10"/>
        <v>2.6482499999999995</v>
      </c>
      <c r="J22" s="6"/>
      <c r="K22" s="17"/>
      <c r="L22" s="29"/>
      <c r="M22" s="30">
        <f t="shared" ref="M22:N22" si="11">SUM(M20:M21)</f>
        <v>1.6932749999999999</v>
      </c>
      <c r="N22" s="31">
        <f t="shared" si="11"/>
        <v>1.2992474999999999</v>
      </c>
    </row>
    <row r="23" spans="1:26" ht="12" customHeight="1" x14ac:dyDescent="0.25">
      <c r="A23" s="15" t="s">
        <v>16</v>
      </c>
      <c r="B23" s="32">
        <v>0.35</v>
      </c>
      <c r="C23" s="33">
        <v>0.35</v>
      </c>
      <c r="D23" s="33">
        <v>0.35</v>
      </c>
      <c r="E23" s="6"/>
      <c r="F23" s="15" t="s">
        <v>16</v>
      </c>
      <c r="G23" s="32">
        <v>0.35</v>
      </c>
      <c r="H23" s="33">
        <v>0.35</v>
      </c>
      <c r="I23" s="33">
        <v>0.35</v>
      </c>
      <c r="J23" s="6"/>
      <c r="K23" s="15" t="s">
        <v>16</v>
      </c>
      <c r="L23" s="32">
        <v>0.35</v>
      </c>
      <c r="M23" s="33">
        <v>0.35</v>
      </c>
      <c r="N23" s="33">
        <v>0.35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5" t="s">
        <v>13</v>
      </c>
      <c r="B24" s="27">
        <v>7.0000000000000007E-2</v>
      </c>
      <c r="C24" s="34">
        <f>C23*B24</f>
        <v>2.4500000000000001E-2</v>
      </c>
      <c r="D24" s="34">
        <f>D23*B24</f>
        <v>2.4500000000000001E-2</v>
      </c>
      <c r="E24" s="6"/>
      <c r="F24" s="15" t="s">
        <v>13</v>
      </c>
      <c r="G24" s="27">
        <v>7.0000000000000007E-2</v>
      </c>
      <c r="H24" s="34">
        <f>H23*G24</f>
        <v>2.4500000000000001E-2</v>
      </c>
      <c r="I24" s="34">
        <f>I23*G24</f>
        <v>2.4500000000000001E-2</v>
      </c>
      <c r="J24" s="6"/>
      <c r="K24" s="15" t="s">
        <v>13</v>
      </c>
      <c r="L24" s="27">
        <v>7.0000000000000007E-2</v>
      </c>
      <c r="M24" s="34">
        <f>M23*L24</f>
        <v>2.4500000000000001E-2</v>
      </c>
      <c r="N24" s="34">
        <f>N23*L24</f>
        <v>2.4500000000000001E-2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5"/>
      <c r="B25" s="29"/>
      <c r="C25" s="24">
        <f t="shared" ref="C25:D25" si="12">SUM(C23:C24)</f>
        <v>0.3745</v>
      </c>
      <c r="D25" s="24">
        <f t="shared" si="12"/>
        <v>0.3745</v>
      </c>
      <c r="E25" s="6"/>
      <c r="F25" s="15"/>
      <c r="G25" s="29"/>
      <c r="H25" s="24">
        <f t="shared" ref="H25:I25" si="13">SUM(H23:H24)</f>
        <v>0.3745</v>
      </c>
      <c r="I25" s="24">
        <f t="shared" si="13"/>
        <v>0.3745</v>
      </c>
      <c r="J25" s="6"/>
      <c r="K25" s="15"/>
      <c r="L25" s="29"/>
      <c r="M25" s="24">
        <f t="shared" ref="M25:N25" si="14">SUM(M23:M24)</f>
        <v>0.3745</v>
      </c>
      <c r="N25" s="24">
        <f t="shared" si="14"/>
        <v>0.3745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5" t="s">
        <v>17</v>
      </c>
      <c r="B26" s="4"/>
      <c r="C26" s="35">
        <f>C13+C16+C19+C22+C25</f>
        <v>12150.17274</v>
      </c>
      <c r="D26" s="35">
        <f>D13-D16-D19-D22-D25</f>
        <v>12427.400500000002</v>
      </c>
      <c r="E26" s="6"/>
      <c r="F26" s="17" t="s">
        <v>17</v>
      </c>
      <c r="G26" s="4"/>
      <c r="H26" s="35">
        <f>H13+H16+H19+H22+H25</f>
        <v>34964.212899999999</v>
      </c>
      <c r="I26" s="35">
        <f>I13-I16-I19-I22-I25</f>
        <v>32844.261500000008</v>
      </c>
      <c r="J26" s="6"/>
      <c r="K26" s="17" t="s">
        <v>17</v>
      </c>
      <c r="L26" s="4"/>
      <c r="M26" s="36">
        <f>M13+M16+M19+M22+M25</f>
        <v>21165.847800000003</v>
      </c>
      <c r="N26" s="37">
        <f>N13-N16-N19-N22-N25</f>
        <v>16139.387930000001</v>
      </c>
    </row>
    <row r="27" spans="1:26" ht="12" customHeight="1" x14ac:dyDescent="0.25">
      <c r="A27" s="15" t="s">
        <v>18</v>
      </c>
      <c r="B27" s="4"/>
      <c r="C27" s="157">
        <f>D26-C26</f>
        <v>277.22776000000158</v>
      </c>
      <c r="D27" s="158"/>
      <c r="E27" s="6"/>
      <c r="F27" s="17" t="s">
        <v>19</v>
      </c>
      <c r="G27" s="4"/>
      <c r="H27" s="157">
        <f>I26-H26</f>
        <v>-2119.9513999999908</v>
      </c>
      <c r="I27" s="158"/>
      <c r="J27" s="6"/>
      <c r="K27" s="17" t="s">
        <v>20</v>
      </c>
      <c r="L27" s="4"/>
      <c r="M27" s="157">
        <f>N26-M26</f>
        <v>-5026.4598700000024</v>
      </c>
      <c r="N27" s="159"/>
    </row>
    <row r="28" spans="1:26" ht="12" customHeight="1" x14ac:dyDescent="0.25">
      <c r="A28" s="38"/>
      <c r="B28" s="39"/>
      <c r="C28" s="40"/>
      <c r="D28" s="40"/>
      <c r="E28" s="41"/>
      <c r="F28" s="42"/>
      <c r="G28" s="39"/>
      <c r="H28" s="40"/>
      <c r="I28" s="40"/>
      <c r="J28" s="41"/>
      <c r="K28" s="42"/>
      <c r="L28" s="39"/>
      <c r="M28" s="40"/>
      <c r="N28" s="43"/>
    </row>
    <row r="29" spans="1:26" ht="12" customHeight="1" x14ac:dyDescent="0.25">
      <c r="A29" s="160" t="s">
        <v>21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2"/>
    </row>
    <row r="30" spans="1:26" ht="12" customHeight="1" x14ac:dyDescent="0.25">
      <c r="A30" s="151" t="s">
        <v>3</v>
      </c>
      <c r="B30" s="152"/>
      <c r="C30" s="152"/>
      <c r="D30" s="152"/>
      <c r="E30" s="153"/>
      <c r="F30" s="154" t="s">
        <v>4</v>
      </c>
      <c r="G30" s="152"/>
      <c r="H30" s="152"/>
      <c r="I30" s="155"/>
      <c r="J30" s="2"/>
      <c r="K30" s="154" t="s">
        <v>5</v>
      </c>
      <c r="L30" s="152"/>
      <c r="M30" s="152"/>
      <c r="N30" s="156"/>
    </row>
    <row r="31" spans="1:26" ht="12" customHeight="1" x14ac:dyDescent="0.25">
      <c r="A31" s="3" t="s">
        <v>6</v>
      </c>
      <c r="B31" s="4"/>
      <c r="C31" s="5" t="s">
        <v>7</v>
      </c>
      <c r="D31" s="5" t="s">
        <v>8</v>
      </c>
      <c r="E31" s="6"/>
      <c r="F31" s="7" t="s">
        <v>6</v>
      </c>
      <c r="G31" s="4"/>
      <c r="H31" s="5" t="s">
        <v>7</v>
      </c>
      <c r="I31" s="5" t="s">
        <v>8</v>
      </c>
      <c r="J31" s="6"/>
      <c r="K31" s="7" t="s">
        <v>6</v>
      </c>
      <c r="L31" s="4"/>
      <c r="M31" s="5" t="s">
        <v>7</v>
      </c>
      <c r="N31" s="8" t="s">
        <v>8</v>
      </c>
    </row>
    <row r="32" spans="1:26" ht="12" customHeight="1" x14ac:dyDescent="0.25">
      <c r="A32" s="3" t="s">
        <v>9</v>
      </c>
      <c r="B32" s="4"/>
      <c r="C32" s="9">
        <v>465000</v>
      </c>
      <c r="D32" s="10">
        <f>C32</f>
        <v>465000</v>
      </c>
      <c r="E32" s="6"/>
      <c r="F32" s="7" t="s">
        <v>9</v>
      </c>
      <c r="G32" s="4"/>
      <c r="H32" s="9">
        <v>30000</v>
      </c>
      <c r="I32" s="10">
        <f>H32</f>
        <v>30000</v>
      </c>
      <c r="J32" s="6"/>
      <c r="K32" s="7" t="s">
        <v>9</v>
      </c>
      <c r="L32" s="4"/>
      <c r="M32" s="9">
        <v>10000</v>
      </c>
      <c r="N32" s="12">
        <f>M32</f>
        <v>10000</v>
      </c>
    </row>
    <row r="33" spans="1:26" ht="12" customHeight="1" x14ac:dyDescent="0.25">
      <c r="A33" s="3" t="s">
        <v>10</v>
      </c>
      <c r="B33" s="4"/>
      <c r="C33" s="13">
        <v>6.8599999999999994E-2</v>
      </c>
      <c r="D33" s="13">
        <v>9.3649999999999997E-2</v>
      </c>
      <c r="E33" s="6"/>
      <c r="F33" s="7" t="s">
        <v>10</v>
      </c>
      <c r="G33" s="4"/>
      <c r="H33" s="44">
        <v>2</v>
      </c>
      <c r="I33" s="45">
        <v>0.45</v>
      </c>
      <c r="J33" s="6"/>
      <c r="K33" s="7" t="s">
        <v>10</v>
      </c>
      <c r="L33" s="4"/>
      <c r="M33" s="46">
        <v>20</v>
      </c>
      <c r="N33" s="14">
        <v>0.95</v>
      </c>
    </row>
    <row r="34" spans="1:26" ht="12" customHeight="1" x14ac:dyDescent="0.25">
      <c r="A34" s="15" t="s">
        <v>11</v>
      </c>
      <c r="B34" s="4"/>
      <c r="C34" s="16">
        <f t="shared" ref="C34:D34" si="15">C32*C33</f>
        <v>31898.999999999996</v>
      </c>
      <c r="D34" s="16">
        <f t="shared" si="15"/>
        <v>43547.25</v>
      </c>
      <c r="E34" s="6"/>
      <c r="F34" s="17" t="s">
        <v>11</v>
      </c>
      <c r="G34" s="4"/>
      <c r="H34" s="16">
        <f t="shared" ref="H34:I34" si="16">H32*H33</f>
        <v>60000</v>
      </c>
      <c r="I34" s="16">
        <f t="shared" si="16"/>
        <v>13500</v>
      </c>
      <c r="J34" s="6"/>
      <c r="K34" s="17" t="s">
        <v>11</v>
      </c>
      <c r="L34" s="4"/>
      <c r="M34" s="16">
        <f t="shared" ref="M34:N34" si="17">M32*M33</f>
        <v>200000</v>
      </c>
      <c r="N34" s="18">
        <f t="shared" si="17"/>
        <v>9500</v>
      </c>
    </row>
    <row r="35" spans="1:26" ht="12" customHeight="1" x14ac:dyDescent="0.25">
      <c r="A35" s="15" t="s">
        <v>12</v>
      </c>
      <c r="B35" s="19">
        <v>2.8E-3</v>
      </c>
      <c r="C35" s="16">
        <f>IF(B35*C34&lt;25,25,B35*C34)</f>
        <v>89.317199999999985</v>
      </c>
      <c r="D35" s="16">
        <f>IF(B35*D34&lt;25,25,B35*D34)</f>
        <v>121.9323</v>
      </c>
      <c r="E35" s="6"/>
      <c r="F35" s="17" t="s">
        <v>12</v>
      </c>
      <c r="G35" s="19">
        <v>2.2000000000000001E-3</v>
      </c>
      <c r="H35" s="16">
        <f>IF(G35*H34&lt;25,25,G35*H34)</f>
        <v>132</v>
      </c>
      <c r="I35" s="16">
        <f>IF(G35*I34&lt;25,25,G35*I34)</f>
        <v>29.700000000000003</v>
      </c>
      <c r="J35" s="6"/>
      <c r="K35" s="17" t="s">
        <v>12</v>
      </c>
      <c r="L35" s="19">
        <v>1.8E-3</v>
      </c>
      <c r="M35" s="16">
        <f>IF(L35*M34&lt;25,25,L35*M34)</f>
        <v>360</v>
      </c>
      <c r="N35" s="18">
        <f>IF(L35*N34&lt;25,25,L35*N34)</f>
        <v>25</v>
      </c>
    </row>
    <row r="36" spans="1:26" ht="12" customHeight="1" x14ac:dyDescent="0.25">
      <c r="A36" s="15" t="s">
        <v>13</v>
      </c>
      <c r="B36" s="20">
        <v>7.0000000000000007E-2</v>
      </c>
      <c r="C36" s="21">
        <f>C35*B36</f>
        <v>6.2522039999999999</v>
      </c>
      <c r="D36" s="21">
        <f>D35*B36</f>
        <v>8.5352610000000002</v>
      </c>
      <c r="E36" s="6"/>
      <c r="F36" s="17" t="s">
        <v>13</v>
      </c>
      <c r="G36" s="20">
        <v>7.0000000000000007E-2</v>
      </c>
      <c r="H36" s="21">
        <f>H35*G36</f>
        <v>9.24</v>
      </c>
      <c r="I36" s="21">
        <f>I35*G36</f>
        <v>2.0790000000000002</v>
      </c>
      <c r="J36" s="6"/>
      <c r="K36" s="17" t="s">
        <v>13</v>
      </c>
      <c r="L36" s="20">
        <v>7.0000000000000007E-2</v>
      </c>
      <c r="M36" s="21">
        <f>M35*L36</f>
        <v>25.200000000000003</v>
      </c>
      <c r="N36" s="22">
        <f>N35*L36</f>
        <v>1.7500000000000002</v>
      </c>
    </row>
    <row r="37" spans="1:26" ht="12" customHeight="1" x14ac:dyDescent="0.25">
      <c r="A37" s="15"/>
      <c r="B37" s="23"/>
      <c r="C37" s="24">
        <f t="shared" ref="C37:D37" si="18">SUM(C35:C36)</f>
        <v>95.569403999999992</v>
      </c>
      <c r="D37" s="24">
        <f t="shared" si="18"/>
        <v>130.46756099999999</v>
      </c>
      <c r="E37" s="47"/>
      <c r="F37" s="17"/>
      <c r="G37" s="23"/>
      <c r="H37" s="24">
        <f t="shared" ref="H37:I37" si="19">SUM(H35:H36)</f>
        <v>141.24</v>
      </c>
      <c r="I37" s="24">
        <f t="shared" si="19"/>
        <v>31.779000000000003</v>
      </c>
      <c r="J37" s="47"/>
      <c r="K37" s="17"/>
      <c r="L37" s="23"/>
      <c r="M37" s="24">
        <f t="shared" ref="M37:N37" si="20">SUM(M35:M36)</f>
        <v>385.2</v>
      </c>
      <c r="N37" s="25">
        <f t="shared" si="20"/>
        <v>26.75</v>
      </c>
    </row>
    <row r="38" spans="1:26" ht="12" customHeight="1" x14ac:dyDescent="0.25">
      <c r="A38" s="15" t="s">
        <v>14</v>
      </c>
      <c r="B38" s="26">
        <v>3.2499999999999999E-4</v>
      </c>
      <c r="C38" s="16">
        <f>B38*C34</f>
        <v>10.367174999999998</v>
      </c>
      <c r="D38" s="16">
        <f>B38*D34</f>
        <v>14.152856249999999</v>
      </c>
      <c r="E38" s="6"/>
      <c r="F38" s="17" t="s">
        <v>14</v>
      </c>
      <c r="G38" s="26">
        <v>3.2499999999999999E-4</v>
      </c>
      <c r="H38" s="16">
        <f>G38*H34</f>
        <v>19.5</v>
      </c>
      <c r="I38" s="16">
        <f>G38*I34</f>
        <v>4.3875000000000002</v>
      </c>
      <c r="J38" s="6"/>
      <c r="K38" s="17" t="s">
        <v>14</v>
      </c>
      <c r="L38" s="26">
        <v>3.2499999999999999E-4</v>
      </c>
      <c r="M38" s="16">
        <f>L38*M34</f>
        <v>65</v>
      </c>
      <c r="N38" s="18">
        <f>L38*N34</f>
        <v>3.0874999999999999</v>
      </c>
    </row>
    <row r="39" spans="1:26" ht="12" customHeight="1" x14ac:dyDescent="0.25">
      <c r="A39" s="15" t="s">
        <v>13</v>
      </c>
      <c r="B39" s="27">
        <v>7.0000000000000007E-2</v>
      </c>
      <c r="C39" s="21">
        <f>C38*B39</f>
        <v>0.72570224999999988</v>
      </c>
      <c r="D39" s="21">
        <f>D38*B39</f>
        <v>0.99069993750000007</v>
      </c>
      <c r="E39" s="6"/>
      <c r="F39" s="17" t="s">
        <v>13</v>
      </c>
      <c r="G39" s="27">
        <v>7.0000000000000007E-2</v>
      </c>
      <c r="H39" s="21">
        <f>H38*G39</f>
        <v>1.3650000000000002</v>
      </c>
      <c r="I39" s="21">
        <f>I38*G39</f>
        <v>0.30712500000000004</v>
      </c>
      <c r="J39" s="6"/>
      <c r="K39" s="17" t="s">
        <v>13</v>
      </c>
      <c r="L39" s="27">
        <v>7.0000000000000007E-2</v>
      </c>
      <c r="M39" s="21">
        <f>M38*L39</f>
        <v>4.5500000000000007</v>
      </c>
      <c r="N39" s="22">
        <f>N38*L39</f>
        <v>0.21612500000000001</v>
      </c>
    </row>
    <row r="40" spans="1:26" ht="12" customHeight="1" x14ac:dyDescent="0.25">
      <c r="A40" s="15"/>
      <c r="B40" s="28"/>
      <c r="C40" s="24">
        <f t="shared" ref="C40:D40" si="21">SUM(C38:C39)</f>
        <v>11.092877249999997</v>
      </c>
      <c r="D40" s="24">
        <f t="shared" si="21"/>
        <v>15.1435561875</v>
      </c>
      <c r="E40" s="6"/>
      <c r="F40" s="17"/>
      <c r="G40" s="28"/>
      <c r="H40" s="24">
        <f t="shared" ref="H40:I40" si="22">SUM(H38:H39)</f>
        <v>20.865000000000002</v>
      </c>
      <c r="I40" s="24">
        <f t="shared" si="22"/>
        <v>4.6946250000000003</v>
      </c>
      <c r="J40" s="6"/>
      <c r="K40" s="17"/>
      <c r="L40" s="28"/>
      <c r="M40" s="24">
        <f t="shared" ref="M40:N40" si="23">SUM(M38:M39)</f>
        <v>69.55</v>
      </c>
      <c r="N40" s="25">
        <f t="shared" si="23"/>
        <v>3.3036249999999998</v>
      </c>
    </row>
    <row r="41" spans="1:26" ht="12" customHeight="1" x14ac:dyDescent="0.25">
      <c r="A41" s="15" t="s">
        <v>15</v>
      </c>
      <c r="B41" s="26">
        <v>7.4999999999999993E-5</v>
      </c>
      <c r="C41" s="16">
        <f>B41*C34</f>
        <v>2.3924249999999994</v>
      </c>
      <c r="D41" s="16">
        <f>B41*D34</f>
        <v>3.2660437499999997</v>
      </c>
      <c r="E41" s="6"/>
      <c r="F41" s="17" t="s">
        <v>15</v>
      </c>
      <c r="G41" s="26">
        <v>7.4999999999999993E-5</v>
      </c>
      <c r="H41" s="16">
        <f>G41*H34</f>
        <v>4.5</v>
      </c>
      <c r="I41" s="16">
        <f>G41*I34</f>
        <v>1.0125</v>
      </c>
      <c r="J41" s="6"/>
      <c r="K41" s="17" t="s">
        <v>15</v>
      </c>
      <c r="L41" s="26">
        <v>7.4999999999999993E-5</v>
      </c>
      <c r="M41" s="16">
        <f>L41*M34</f>
        <v>14.999999999999998</v>
      </c>
      <c r="N41" s="18">
        <f>L41*N34</f>
        <v>0.71249999999999991</v>
      </c>
    </row>
    <row r="42" spans="1:26" ht="12" customHeight="1" x14ac:dyDescent="0.25">
      <c r="A42" s="15" t="s">
        <v>13</v>
      </c>
      <c r="B42" s="26">
        <v>7.0000000000000007E-2</v>
      </c>
      <c r="C42" s="21">
        <f>C41*B42</f>
        <v>0.16746974999999997</v>
      </c>
      <c r="D42" s="21">
        <f>D41*B42</f>
        <v>0.2286230625</v>
      </c>
      <c r="E42" s="6"/>
      <c r="F42" s="17" t="s">
        <v>13</v>
      </c>
      <c r="G42" s="26">
        <v>7.0000000000000007E-2</v>
      </c>
      <c r="H42" s="21">
        <f>H41*G42</f>
        <v>0.31500000000000006</v>
      </c>
      <c r="I42" s="21">
        <f>I41*G42</f>
        <v>7.0875000000000007E-2</v>
      </c>
      <c r="J42" s="6"/>
      <c r="K42" s="17" t="s">
        <v>13</v>
      </c>
      <c r="L42" s="26">
        <v>7.0000000000000007E-2</v>
      </c>
      <c r="M42" s="21">
        <f>M41*L42</f>
        <v>1.05</v>
      </c>
      <c r="N42" s="22">
        <f>N41*L42</f>
        <v>4.9874999999999996E-2</v>
      </c>
    </row>
    <row r="43" spans="1:26" ht="12" customHeight="1" x14ac:dyDescent="0.25">
      <c r="A43" s="15"/>
      <c r="B43" s="29"/>
      <c r="C43" s="30">
        <f t="shared" ref="C43:D43" si="24">SUM(C41:C42)</f>
        <v>2.5598947499999993</v>
      </c>
      <c r="D43" s="30">
        <f t="shared" si="24"/>
        <v>3.4946668124999998</v>
      </c>
      <c r="E43" s="6"/>
      <c r="F43" s="17"/>
      <c r="G43" s="29"/>
      <c r="H43" s="30">
        <f t="shared" ref="H43:I43" si="25">SUM(H41:H42)</f>
        <v>4.8150000000000004</v>
      </c>
      <c r="I43" s="30">
        <f t="shared" si="25"/>
        <v>1.083375</v>
      </c>
      <c r="J43" s="6"/>
      <c r="K43" s="17"/>
      <c r="L43" s="29"/>
      <c r="M43" s="30">
        <f t="shared" ref="M43:N43" si="26">SUM(M41:M42)</f>
        <v>16.049999999999997</v>
      </c>
      <c r="N43" s="31">
        <f t="shared" si="26"/>
        <v>0.76237499999999991</v>
      </c>
    </row>
    <row r="44" spans="1:26" ht="12" customHeight="1" x14ac:dyDescent="0.25">
      <c r="A44" s="15" t="s">
        <v>16</v>
      </c>
      <c r="B44" s="32">
        <v>0.35</v>
      </c>
      <c r="C44" s="33">
        <v>0.35</v>
      </c>
      <c r="D44" s="33">
        <v>0.35</v>
      </c>
      <c r="E44" s="6"/>
      <c r="F44" s="15" t="s">
        <v>16</v>
      </c>
      <c r="G44" s="32">
        <v>0.35</v>
      </c>
      <c r="H44" s="33">
        <v>0.35</v>
      </c>
      <c r="I44" s="33">
        <v>0.35</v>
      </c>
      <c r="J44" s="6"/>
      <c r="K44" s="15" t="s">
        <v>16</v>
      </c>
      <c r="L44" s="32">
        <v>0.35</v>
      </c>
      <c r="M44" s="33">
        <v>0.35</v>
      </c>
      <c r="N44" s="33">
        <v>0.35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5" t="s">
        <v>13</v>
      </c>
      <c r="B45" s="27">
        <v>7.0000000000000007E-2</v>
      </c>
      <c r="C45" s="34">
        <f>C44*B45</f>
        <v>2.4500000000000001E-2</v>
      </c>
      <c r="D45" s="34">
        <f>D44*B45</f>
        <v>2.4500000000000001E-2</v>
      </c>
      <c r="E45" s="6"/>
      <c r="F45" s="15" t="s">
        <v>13</v>
      </c>
      <c r="G45" s="27">
        <v>7.0000000000000007E-2</v>
      </c>
      <c r="H45" s="34">
        <f>H44*G45</f>
        <v>2.4500000000000001E-2</v>
      </c>
      <c r="I45" s="34">
        <f>I44*G45</f>
        <v>2.4500000000000001E-2</v>
      </c>
      <c r="J45" s="6"/>
      <c r="K45" s="15" t="s">
        <v>13</v>
      </c>
      <c r="L45" s="27">
        <v>7.0000000000000007E-2</v>
      </c>
      <c r="M45" s="34">
        <f>M44*L45</f>
        <v>2.4500000000000001E-2</v>
      </c>
      <c r="N45" s="34">
        <f>N44*L45</f>
        <v>2.4500000000000001E-2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5"/>
      <c r="B46" s="29"/>
      <c r="C46" s="24">
        <f t="shared" ref="C46:D46" si="27">SUM(C44:C45)</f>
        <v>0.3745</v>
      </c>
      <c r="D46" s="24">
        <f t="shared" si="27"/>
        <v>0.3745</v>
      </c>
      <c r="E46" s="6"/>
      <c r="F46" s="15"/>
      <c r="G46" s="29"/>
      <c r="H46" s="24">
        <f t="shared" ref="H46:I46" si="28">SUM(H44:H45)</f>
        <v>0.3745</v>
      </c>
      <c r="I46" s="24">
        <f t="shared" si="28"/>
        <v>0.3745</v>
      </c>
      <c r="J46" s="6"/>
      <c r="K46" s="15"/>
      <c r="L46" s="29"/>
      <c r="M46" s="24">
        <f t="shared" ref="M46:N46" si="29">SUM(M44:M45)</f>
        <v>0.3745</v>
      </c>
      <c r="N46" s="24">
        <f t="shared" si="29"/>
        <v>0.3745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5" t="s">
        <v>17</v>
      </c>
      <c r="B47" s="4"/>
      <c r="C47" s="36">
        <f>C34+C37+C40+C43+C46</f>
        <v>32008.596676000001</v>
      </c>
      <c r="D47" s="36">
        <f>D34-D37-D40-D43-D46</f>
        <v>43397.76971600001</v>
      </c>
      <c r="E47" s="6"/>
      <c r="F47" s="17" t="s">
        <v>17</v>
      </c>
      <c r="G47" s="4"/>
      <c r="H47" s="36">
        <f>H34+H37+H40+H43+H46</f>
        <v>60167.294499999996</v>
      </c>
      <c r="I47" s="36">
        <f>I34-I37-I40-I43-I46</f>
        <v>13462.068499999999</v>
      </c>
      <c r="J47" s="6"/>
      <c r="K47" s="17" t="s">
        <v>17</v>
      </c>
      <c r="L47" s="4"/>
      <c r="M47" s="36">
        <f>M34+M37+M40+M43+M46</f>
        <v>200471.17449999999</v>
      </c>
      <c r="N47" s="37">
        <f>N34-N37-N40-N43-N46</f>
        <v>9468.8094999999994</v>
      </c>
    </row>
    <row r="48" spans="1:26" ht="12" customHeight="1" x14ac:dyDescent="0.25">
      <c r="A48" s="15" t="s">
        <v>22</v>
      </c>
      <c r="B48" s="4"/>
      <c r="C48" s="157">
        <f>D47-C47</f>
        <v>11389.173040000009</v>
      </c>
      <c r="D48" s="158"/>
      <c r="E48" s="6"/>
      <c r="F48" s="17" t="s">
        <v>23</v>
      </c>
      <c r="G48" s="4"/>
      <c r="H48" s="157">
        <f>I47-H47</f>
        <v>-46705.225999999995</v>
      </c>
      <c r="I48" s="158"/>
      <c r="J48" s="6"/>
      <c r="K48" s="17" t="s">
        <v>24</v>
      </c>
      <c r="L48" s="4"/>
      <c r="M48" s="157">
        <f>N47-M47</f>
        <v>-191002.36499999999</v>
      </c>
      <c r="N48" s="159"/>
    </row>
    <row r="49" spans="1:14" ht="12" customHeight="1" x14ac:dyDescent="0.25">
      <c r="A49" s="48"/>
      <c r="B49" s="49"/>
      <c r="C49" s="50"/>
      <c r="D49" s="50"/>
      <c r="E49" s="51"/>
      <c r="F49" s="50"/>
      <c r="G49" s="49"/>
      <c r="H49" s="50"/>
      <c r="I49" s="50"/>
      <c r="J49" s="51"/>
      <c r="K49" s="50"/>
      <c r="L49" s="49"/>
      <c r="M49" s="50"/>
      <c r="N49" s="52"/>
    </row>
    <row r="50" spans="1:14" ht="12" customHeight="1" x14ac:dyDescent="0.25"/>
    <row r="51" spans="1:14" ht="12" customHeight="1" x14ac:dyDescent="0.25"/>
    <row r="52" spans="1:14" ht="24.75" customHeight="1" x14ac:dyDescent="0.25">
      <c r="A52" s="167" t="s">
        <v>25</v>
      </c>
      <c r="B52" s="168"/>
      <c r="C52" s="168"/>
      <c r="D52" s="168"/>
      <c r="E52" s="169"/>
      <c r="G52" s="167" t="s">
        <v>26</v>
      </c>
      <c r="H52" s="168"/>
      <c r="I52" s="168"/>
      <c r="J52" s="168"/>
      <c r="K52" s="169"/>
    </row>
    <row r="53" spans="1:14" ht="12" customHeight="1" x14ac:dyDescent="0.25">
      <c r="A53" s="3" t="s">
        <v>6</v>
      </c>
      <c r="B53" s="4"/>
      <c r="C53" s="5" t="s">
        <v>7</v>
      </c>
      <c r="D53" s="5" t="s">
        <v>8</v>
      </c>
      <c r="E53" s="53"/>
      <c r="G53" s="3" t="s">
        <v>6</v>
      </c>
      <c r="H53" s="4"/>
      <c r="I53" s="5" t="s">
        <v>7</v>
      </c>
      <c r="J53" s="5" t="s">
        <v>8</v>
      </c>
      <c r="K53" s="53"/>
    </row>
    <row r="54" spans="1:14" ht="12" customHeight="1" x14ac:dyDescent="0.25">
      <c r="A54" s="3" t="s">
        <v>9</v>
      </c>
      <c r="B54" s="4"/>
      <c r="C54" s="9">
        <v>20000</v>
      </c>
      <c r="D54" s="10">
        <f>C54</f>
        <v>20000</v>
      </c>
      <c r="E54" s="53"/>
      <c r="G54" s="3" t="s">
        <v>9</v>
      </c>
      <c r="H54" s="4"/>
      <c r="I54" s="9">
        <v>4000</v>
      </c>
      <c r="J54" s="10">
        <f>I54</f>
        <v>4000</v>
      </c>
      <c r="K54" s="53"/>
    </row>
    <row r="55" spans="1:14" ht="12" customHeight="1" x14ac:dyDescent="0.25">
      <c r="A55" s="3" t="s">
        <v>27</v>
      </c>
      <c r="B55" s="4"/>
      <c r="C55" s="13">
        <v>0.44</v>
      </c>
      <c r="D55" s="13">
        <v>3.3</v>
      </c>
      <c r="E55" s="53"/>
      <c r="G55" s="3" t="s">
        <v>28</v>
      </c>
      <c r="H55" s="4"/>
      <c r="I55" s="13">
        <v>4.78</v>
      </c>
      <c r="J55" s="13">
        <v>4.9000000000000004</v>
      </c>
      <c r="K55" s="53"/>
    </row>
    <row r="56" spans="1:14" ht="12" customHeight="1" x14ac:dyDescent="0.25">
      <c r="A56" s="15" t="s">
        <v>11</v>
      </c>
      <c r="B56" s="4"/>
      <c r="C56" s="16">
        <f t="shared" ref="C56:D56" si="30">C54*C55</f>
        <v>8800</v>
      </c>
      <c r="D56" s="16">
        <f t="shared" si="30"/>
        <v>66000</v>
      </c>
      <c r="E56" s="53"/>
      <c r="G56" s="15" t="s">
        <v>29</v>
      </c>
      <c r="H56" s="4"/>
      <c r="I56" s="16">
        <f t="shared" ref="I56:J56" si="31">I54*I55</f>
        <v>19120</v>
      </c>
      <c r="J56" s="16">
        <f t="shared" si="31"/>
        <v>19600</v>
      </c>
      <c r="K56" s="53"/>
    </row>
    <row r="57" spans="1:14" ht="12" customHeight="1" x14ac:dyDescent="0.25">
      <c r="A57" s="15" t="s">
        <v>12</v>
      </c>
      <c r="B57" s="54">
        <v>2.5000000000000001E-3</v>
      </c>
      <c r="C57" s="16">
        <f>IF(B57*C56&lt;100,100,B57*C56)</f>
        <v>100</v>
      </c>
      <c r="D57" s="16">
        <f>IF(B57*D56&lt;100,100,B57*D56)</f>
        <v>165</v>
      </c>
      <c r="E57" s="53"/>
      <c r="G57" s="15" t="s">
        <v>12</v>
      </c>
      <c r="H57" s="55">
        <v>3.0000000000000001E-3</v>
      </c>
      <c r="I57" s="16">
        <f>IF(H57*I56&lt;20,20,H57*I56)</f>
        <v>57.36</v>
      </c>
      <c r="J57" s="16">
        <f>IF(H57*J56&lt;20,20,H57*J56)</f>
        <v>58.800000000000004</v>
      </c>
      <c r="K57" s="53"/>
    </row>
    <row r="58" spans="1:14" ht="12" customHeight="1" x14ac:dyDescent="0.25">
      <c r="A58" s="15" t="s">
        <v>13</v>
      </c>
      <c r="B58" s="20">
        <v>7.0000000000000007E-2</v>
      </c>
      <c r="C58" s="21">
        <f>C57*B58</f>
        <v>7.0000000000000009</v>
      </c>
      <c r="D58" s="21">
        <f>D57*B58</f>
        <v>11.55</v>
      </c>
      <c r="E58" s="53"/>
      <c r="G58" s="15" t="s">
        <v>13</v>
      </c>
      <c r="H58" s="20">
        <v>7.0000000000000007E-2</v>
      </c>
      <c r="I58" s="21">
        <f>I57*H58</f>
        <v>4.0152000000000001</v>
      </c>
      <c r="J58" s="21">
        <f>J57*H58</f>
        <v>4.1160000000000005</v>
      </c>
      <c r="K58" s="53"/>
    </row>
    <row r="59" spans="1:14" ht="12" customHeight="1" x14ac:dyDescent="0.25">
      <c r="A59" s="15"/>
      <c r="B59" s="23"/>
      <c r="C59" s="24">
        <f t="shared" ref="C59:D59" si="32">SUM(C57:C58)</f>
        <v>107</v>
      </c>
      <c r="D59" s="24">
        <f t="shared" si="32"/>
        <v>176.55</v>
      </c>
      <c r="E59" s="53"/>
      <c r="G59" s="15"/>
      <c r="H59" s="23"/>
      <c r="I59" s="24">
        <f t="shared" ref="I59:J59" si="33">SUM(I57:I58)</f>
        <v>61.3752</v>
      </c>
      <c r="J59" s="24">
        <f t="shared" si="33"/>
        <v>62.916000000000004</v>
      </c>
      <c r="K59" s="53"/>
    </row>
    <row r="60" spans="1:14" ht="12" customHeight="1" x14ac:dyDescent="0.25">
      <c r="A60" s="15" t="s">
        <v>14</v>
      </c>
      <c r="B60" s="56">
        <v>1.127E-3</v>
      </c>
      <c r="C60" s="16">
        <f>B60*C56</f>
        <v>9.9176000000000002</v>
      </c>
      <c r="D60" s="16">
        <f>B60*D56</f>
        <v>74.381999999999991</v>
      </c>
      <c r="E60" s="53"/>
      <c r="G60" s="57"/>
      <c r="H60" s="23"/>
      <c r="I60" s="58"/>
      <c r="J60" s="58"/>
      <c r="K60" s="53"/>
    </row>
    <row r="61" spans="1:14" ht="14.25" customHeight="1" x14ac:dyDescent="0.25">
      <c r="A61" s="15" t="s">
        <v>13</v>
      </c>
      <c r="B61" s="27"/>
      <c r="C61" s="21"/>
      <c r="D61" s="21"/>
      <c r="E61" s="53"/>
      <c r="F61" s="59"/>
      <c r="G61" s="15" t="s">
        <v>30</v>
      </c>
      <c r="H61" s="4"/>
      <c r="I61" s="36">
        <f>I56+I59</f>
        <v>19181.375199999999</v>
      </c>
      <c r="J61" s="36">
        <f>J56-J59</f>
        <v>19537.083999999999</v>
      </c>
      <c r="K61" s="60" t="s">
        <v>31</v>
      </c>
      <c r="L61" s="59"/>
      <c r="M61" s="59"/>
    </row>
    <row r="62" spans="1:14" ht="13.5" customHeight="1" x14ac:dyDescent="0.25">
      <c r="A62" s="15"/>
      <c r="B62" s="28"/>
      <c r="C62" s="24">
        <f t="shared" ref="C62:D62" si="34">SUM(C60:C61)</f>
        <v>9.9176000000000002</v>
      </c>
      <c r="D62" s="24">
        <f t="shared" si="34"/>
        <v>74.381999999999991</v>
      </c>
      <c r="E62" s="53"/>
      <c r="F62" s="59"/>
      <c r="G62" s="15" t="s">
        <v>32</v>
      </c>
      <c r="H62" s="4"/>
      <c r="I62" s="157">
        <f>J61-I61</f>
        <v>355.70880000000034</v>
      </c>
      <c r="J62" s="158"/>
      <c r="K62" s="61">
        <v>1.37</v>
      </c>
      <c r="L62" s="59"/>
      <c r="M62" s="59"/>
    </row>
    <row r="63" spans="1:14" ht="19.5" customHeight="1" x14ac:dyDescent="0.25">
      <c r="A63" s="15" t="s">
        <v>15</v>
      </c>
      <c r="B63" s="26">
        <v>5.0000000000000002E-5</v>
      </c>
      <c r="C63" s="16">
        <f>B63*C56</f>
        <v>0.44</v>
      </c>
      <c r="D63" s="16">
        <f>B63*D56</f>
        <v>3.3000000000000003</v>
      </c>
      <c r="E63" s="53"/>
      <c r="F63" s="59"/>
      <c r="G63" s="62" t="s">
        <v>33</v>
      </c>
      <c r="H63" s="63"/>
      <c r="I63" s="163">
        <f>I62*K62</f>
        <v>487.32105600000051</v>
      </c>
      <c r="J63" s="164"/>
      <c r="K63" s="64"/>
      <c r="L63" s="59"/>
      <c r="M63" s="59"/>
    </row>
    <row r="64" spans="1:14" ht="15" customHeight="1" x14ac:dyDescent="0.25">
      <c r="A64" s="15" t="s">
        <v>13</v>
      </c>
      <c r="B64" s="26"/>
      <c r="C64" s="21"/>
      <c r="D64" s="21"/>
      <c r="E64" s="53"/>
      <c r="F64" s="59"/>
      <c r="G64" s="59"/>
      <c r="H64" s="59"/>
      <c r="I64" s="59"/>
      <c r="J64" s="59"/>
      <c r="K64" s="59"/>
      <c r="L64" s="59"/>
      <c r="M64" s="59"/>
      <c r="N64" s="59"/>
    </row>
    <row r="65" spans="1:26" ht="12" customHeight="1" x14ac:dyDescent="0.25">
      <c r="A65" s="15"/>
      <c r="B65" s="29"/>
      <c r="C65" s="30">
        <f t="shared" ref="C65:D65" si="35">SUM(C63:C64)</f>
        <v>0.44</v>
      </c>
      <c r="D65" s="30">
        <f t="shared" si="35"/>
        <v>3.3000000000000003</v>
      </c>
      <c r="E65" s="53"/>
      <c r="F65" s="59"/>
      <c r="G65" s="59"/>
      <c r="H65" s="59"/>
      <c r="I65" s="59"/>
      <c r="J65" s="59"/>
      <c r="K65" s="59"/>
      <c r="L65" s="59"/>
      <c r="M65" s="59"/>
      <c r="N65" s="59"/>
    </row>
    <row r="66" spans="1:26" ht="12" customHeight="1" x14ac:dyDescent="0.25">
      <c r="A66" s="15" t="s">
        <v>34</v>
      </c>
      <c r="B66" s="4"/>
      <c r="C66" s="36">
        <f>C56+C59+C62+C65</f>
        <v>8917.3576000000012</v>
      </c>
      <c r="D66" s="36">
        <f>D56-D59-D62-D65</f>
        <v>65745.767999999996</v>
      </c>
      <c r="E66" s="60" t="s">
        <v>31</v>
      </c>
      <c r="F66" s="59"/>
      <c r="G66" s="59"/>
      <c r="H66" s="59"/>
      <c r="I66" s="59"/>
      <c r="J66" s="59"/>
      <c r="K66" s="59"/>
      <c r="L66" s="59"/>
      <c r="M66" s="59"/>
      <c r="N66" s="59"/>
    </row>
    <row r="67" spans="1:26" ht="12" customHeight="1" x14ac:dyDescent="0.25">
      <c r="A67" s="15" t="s">
        <v>35</v>
      </c>
      <c r="B67" s="4"/>
      <c r="C67" s="157">
        <f>D66-C66</f>
        <v>56828.410399999993</v>
      </c>
      <c r="D67" s="158"/>
      <c r="E67" s="61">
        <v>0.18</v>
      </c>
      <c r="F67" s="59"/>
      <c r="G67" s="65"/>
      <c r="H67" s="65"/>
      <c r="I67" s="65"/>
      <c r="J67" s="65"/>
      <c r="K67" s="65"/>
      <c r="L67" s="65"/>
      <c r="M67" s="65"/>
      <c r="N67" s="59"/>
    </row>
    <row r="68" spans="1:26" ht="21" customHeight="1" x14ac:dyDescent="0.25">
      <c r="A68" s="62" t="s">
        <v>36</v>
      </c>
      <c r="B68" s="63"/>
      <c r="C68" s="163">
        <f>C67*E67</f>
        <v>10229.113871999998</v>
      </c>
      <c r="D68" s="164"/>
      <c r="E68" s="64"/>
      <c r="F68" s="59"/>
      <c r="G68" s="59"/>
      <c r="H68" s="59"/>
      <c r="I68" s="59"/>
      <c r="J68" s="59"/>
      <c r="K68" s="59"/>
      <c r="L68" s="59"/>
      <c r="M68" s="59"/>
      <c r="N68" s="59"/>
    </row>
    <row r="69" spans="1:26" ht="12" customHeight="1" x14ac:dyDescent="0.25">
      <c r="G69" s="59"/>
      <c r="H69" s="59"/>
      <c r="I69" s="66"/>
      <c r="J69" s="66"/>
      <c r="K69" s="59"/>
      <c r="L69" s="59"/>
      <c r="M69" s="59"/>
      <c r="N69" s="59"/>
    </row>
    <row r="70" spans="1:26" ht="12" customHeight="1" x14ac:dyDescent="0.25">
      <c r="G70" s="59"/>
      <c r="H70" s="59"/>
      <c r="I70" s="59"/>
      <c r="J70" s="59"/>
      <c r="K70" s="59"/>
      <c r="L70" s="59"/>
      <c r="M70" s="59"/>
      <c r="N70" s="59"/>
    </row>
    <row r="71" spans="1:26" ht="12" customHeight="1" x14ac:dyDescent="0.25">
      <c r="A71" s="165" t="s">
        <v>37</v>
      </c>
      <c r="B71" s="153"/>
      <c r="C71" s="67"/>
      <c r="D71" s="67"/>
      <c r="E71" s="67"/>
      <c r="F71" s="59"/>
      <c r="G71" s="59"/>
      <c r="H71" s="59"/>
      <c r="I71" s="59"/>
      <c r="J71" s="59"/>
      <c r="K71" s="59"/>
      <c r="L71" s="59"/>
      <c r="M71" s="59"/>
      <c r="N71" s="59"/>
    </row>
    <row r="72" spans="1:26" ht="12" customHeight="1" x14ac:dyDescent="0.25">
      <c r="A72" s="68" t="s">
        <v>38</v>
      </c>
      <c r="B72" s="68" t="s">
        <v>39</v>
      </c>
      <c r="C72" s="69"/>
      <c r="D72" s="69"/>
      <c r="E72" s="69"/>
      <c r="F72" s="59"/>
      <c r="L72" s="66"/>
      <c r="M72" s="59"/>
      <c r="N72" s="59"/>
    </row>
    <row r="73" spans="1:26" ht="12" customHeight="1" x14ac:dyDescent="0.25">
      <c r="A73" s="70">
        <v>20000</v>
      </c>
      <c r="B73" s="71">
        <v>0.25</v>
      </c>
      <c r="C73" s="69"/>
      <c r="D73" s="69"/>
      <c r="E73" s="69"/>
      <c r="F73" s="59"/>
      <c r="L73" s="59"/>
      <c r="M73" s="59"/>
      <c r="N73" s="59"/>
    </row>
    <row r="74" spans="1:26" ht="12" customHeight="1" x14ac:dyDescent="0.25">
      <c r="A74" s="70">
        <v>40000</v>
      </c>
      <c r="B74" s="71">
        <v>0.28000000000000003</v>
      </c>
      <c r="C74" s="69"/>
      <c r="D74" s="69"/>
      <c r="E74" s="69"/>
      <c r="F74" s="59"/>
      <c r="L74" s="59"/>
      <c r="M74" s="59"/>
      <c r="N74" s="59"/>
    </row>
    <row r="75" spans="1:26" ht="12" customHeight="1" x14ac:dyDescent="0.25">
      <c r="A75" s="70">
        <v>30000</v>
      </c>
      <c r="B75" s="70">
        <v>0.26</v>
      </c>
      <c r="C75" s="69"/>
      <c r="D75" s="69"/>
      <c r="E75" s="69"/>
      <c r="F75" s="59"/>
      <c r="L75" s="59"/>
      <c r="M75" s="59"/>
      <c r="N75" s="59"/>
    </row>
    <row r="76" spans="1:26" ht="12" customHeight="1" x14ac:dyDescent="0.25">
      <c r="A76" s="70"/>
      <c r="B76" s="70"/>
      <c r="C76" s="69"/>
      <c r="D76" s="69"/>
      <c r="E76" s="69"/>
      <c r="F76" s="59"/>
      <c r="L76" s="59"/>
      <c r="M76" s="59"/>
      <c r="N76" s="59"/>
    </row>
    <row r="77" spans="1:26" ht="12" customHeight="1" x14ac:dyDescent="0.25">
      <c r="A77" s="70"/>
      <c r="B77" s="70"/>
      <c r="C77" s="69"/>
      <c r="D77" s="69"/>
      <c r="E77" s="69"/>
      <c r="F77" s="59"/>
      <c r="L77" s="59"/>
      <c r="M77" s="59"/>
      <c r="N77" s="59"/>
    </row>
    <row r="78" spans="1:26" ht="12" customHeight="1" x14ac:dyDescent="0.25">
      <c r="A78" s="70"/>
      <c r="B78" s="70"/>
      <c r="C78" s="69"/>
      <c r="D78" s="69"/>
      <c r="E78" s="69"/>
      <c r="F78" s="59"/>
      <c r="L78" s="72"/>
      <c r="M78" s="72"/>
      <c r="N78" s="59"/>
    </row>
    <row r="79" spans="1:26" ht="12" customHeight="1" x14ac:dyDescent="0.25">
      <c r="A79" s="73">
        <f>SUM(A73:A78)</f>
        <v>90000</v>
      </c>
      <c r="B79" s="74" t="s">
        <v>40</v>
      </c>
      <c r="C79" s="75" t="s">
        <v>41</v>
      </c>
      <c r="D79" s="68">
        <f>((A73*B73)+(A74*B74)+(A75*B75)+(A76*B76)+(A77*B77))/(A73+A74+A75+A76+A77)</f>
        <v>0.26666666666666666</v>
      </c>
      <c r="F79" s="1"/>
      <c r="G79" s="1"/>
      <c r="H79" s="1"/>
      <c r="I79" s="1"/>
      <c r="J79" s="1"/>
      <c r="K79" s="1"/>
      <c r="L79" s="72"/>
      <c r="M79" s="72"/>
      <c r="N79" s="5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L80" s="76"/>
      <c r="M80" s="72"/>
      <c r="N80" s="59"/>
    </row>
    <row r="81" spans="1:11" ht="12" customHeight="1" x14ac:dyDescent="0.25">
      <c r="A81" s="166" t="s">
        <v>42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6"/>
    </row>
    <row r="82" spans="1:11" ht="15.75" customHeight="1" x14ac:dyDescent="0.25">
      <c r="A82" s="137"/>
      <c r="B82" s="138"/>
      <c r="C82" s="138"/>
      <c r="D82" s="138"/>
      <c r="E82" s="138"/>
      <c r="F82" s="138"/>
      <c r="G82" s="138"/>
      <c r="H82" s="138"/>
      <c r="I82" s="138"/>
      <c r="J82" s="138"/>
      <c r="K82" s="139"/>
    </row>
    <row r="83" spans="1:11" ht="12" customHeight="1" x14ac:dyDescent="0.25">
      <c r="A83" s="140"/>
      <c r="B83" s="141"/>
      <c r="C83" s="141"/>
      <c r="D83" s="141"/>
      <c r="E83" s="141"/>
      <c r="F83" s="141"/>
      <c r="G83" s="141"/>
      <c r="H83" s="141"/>
      <c r="I83" s="141"/>
      <c r="J83" s="141"/>
      <c r="K83" s="142"/>
    </row>
    <row r="84" spans="1:11" ht="12" customHeight="1" x14ac:dyDescent="0.25"/>
    <row r="85" spans="1:11" ht="12" customHeight="1" x14ac:dyDescent="0.25"/>
    <row r="86" spans="1:11" ht="12" customHeight="1" x14ac:dyDescent="0.25"/>
    <row r="87" spans="1:11" ht="12" customHeight="1" x14ac:dyDescent="0.25"/>
    <row r="88" spans="1:11" ht="12" customHeight="1" x14ac:dyDescent="0.25"/>
    <row r="89" spans="1:11" ht="12" customHeight="1" x14ac:dyDescent="0.25"/>
    <row r="90" spans="1:11" ht="12" customHeight="1" x14ac:dyDescent="0.25"/>
    <row r="91" spans="1:11" ht="12" customHeight="1" x14ac:dyDescent="0.25"/>
    <row r="92" spans="1:11" ht="12" customHeight="1" x14ac:dyDescent="0.25"/>
    <row r="93" spans="1:11" ht="12" customHeight="1" x14ac:dyDescent="0.25"/>
    <row r="94" spans="1:11" ht="12" customHeight="1" x14ac:dyDescent="0.25"/>
    <row r="95" spans="1:11" ht="12" customHeight="1" x14ac:dyDescent="0.25"/>
    <row r="96" spans="1:11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5">
    <mergeCell ref="M48:N48"/>
    <mergeCell ref="A52:E52"/>
    <mergeCell ref="G52:K52"/>
    <mergeCell ref="I62:J62"/>
    <mergeCell ref="I63:J63"/>
    <mergeCell ref="C67:D67"/>
    <mergeCell ref="C68:D68"/>
    <mergeCell ref="A71:B71"/>
    <mergeCell ref="A81:K83"/>
    <mergeCell ref="C48:D48"/>
    <mergeCell ref="H48:I48"/>
    <mergeCell ref="C27:D27"/>
    <mergeCell ref="H27:I27"/>
    <mergeCell ref="M27:N27"/>
    <mergeCell ref="A29:N29"/>
    <mergeCell ref="A30:E30"/>
    <mergeCell ref="F30:I30"/>
    <mergeCell ref="K30:N30"/>
    <mergeCell ref="A1:H4"/>
    <mergeCell ref="J1:N4"/>
    <mergeCell ref="A6:N7"/>
    <mergeCell ref="A8:N8"/>
    <mergeCell ref="A9:E9"/>
    <mergeCell ref="F9:I9"/>
    <mergeCell ref="K9:N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N57"/>
  <sheetViews>
    <sheetView topLeftCell="A25" workbookViewId="0">
      <selection activeCell="I12" sqref="I12"/>
    </sheetView>
  </sheetViews>
  <sheetFormatPr defaultColWidth="14.42578125" defaultRowHeight="15" customHeight="1" x14ac:dyDescent="0.25"/>
  <sheetData>
    <row r="2" spans="1:14" x14ac:dyDescent="0.25">
      <c r="A2" s="134" t="s">
        <v>79</v>
      </c>
      <c r="B2" s="135"/>
      <c r="C2" s="135"/>
      <c r="D2" s="135"/>
      <c r="E2" s="135"/>
      <c r="F2" s="135"/>
      <c r="G2" s="135"/>
      <c r="H2" s="136"/>
      <c r="I2" s="1"/>
      <c r="J2" s="143" t="s">
        <v>0</v>
      </c>
      <c r="K2" s="135"/>
      <c r="L2" s="135"/>
      <c r="M2" s="135"/>
      <c r="N2" s="136"/>
    </row>
    <row r="3" spans="1:14" x14ac:dyDescent="0.25">
      <c r="A3" s="137"/>
      <c r="B3" s="138"/>
      <c r="C3" s="138"/>
      <c r="D3" s="138"/>
      <c r="E3" s="138"/>
      <c r="F3" s="138"/>
      <c r="G3" s="138"/>
      <c r="H3" s="139"/>
      <c r="I3" s="1"/>
      <c r="J3" s="137"/>
      <c r="K3" s="138"/>
      <c r="L3" s="138"/>
      <c r="M3" s="138"/>
      <c r="N3" s="139"/>
    </row>
    <row r="4" spans="1:14" x14ac:dyDescent="0.25">
      <c r="A4" s="137"/>
      <c r="B4" s="138"/>
      <c r="C4" s="138"/>
      <c r="D4" s="138"/>
      <c r="E4" s="138"/>
      <c r="F4" s="138"/>
      <c r="G4" s="138"/>
      <c r="H4" s="139"/>
      <c r="I4" s="1"/>
      <c r="J4" s="137"/>
      <c r="K4" s="138"/>
      <c r="L4" s="138"/>
      <c r="M4" s="138"/>
      <c r="N4" s="139"/>
    </row>
    <row r="5" spans="1:14" x14ac:dyDescent="0.25">
      <c r="A5" s="140"/>
      <c r="B5" s="141"/>
      <c r="C5" s="141"/>
      <c r="D5" s="141"/>
      <c r="E5" s="141"/>
      <c r="F5" s="141"/>
      <c r="G5" s="141"/>
      <c r="H5" s="142"/>
      <c r="I5" s="1"/>
      <c r="J5" s="140"/>
      <c r="K5" s="141"/>
      <c r="L5" s="141"/>
      <c r="M5" s="141"/>
      <c r="N5" s="142"/>
    </row>
    <row r="7" spans="1:14" x14ac:dyDescent="0.25">
      <c r="A7" s="167" t="s">
        <v>43</v>
      </c>
      <c r="B7" s="168"/>
      <c r="C7" s="168"/>
      <c r="D7" s="168"/>
    </row>
    <row r="8" spans="1:14" x14ac:dyDescent="0.25">
      <c r="A8" s="77" t="s">
        <v>6</v>
      </c>
      <c r="B8" s="78"/>
      <c r="C8" s="79" t="s">
        <v>7</v>
      </c>
      <c r="D8" s="79" t="s">
        <v>8</v>
      </c>
    </row>
    <row r="9" spans="1:14" x14ac:dyDescent="0.25">
      <c r="A9" s="77" t="s">
        <v>9</v>
      </c>
      <c r="B9" s="78"/>
      <c r="C9" s="80">
        <v>1000</v>
      </c>
      <c r="D9" s="80">
        <v>1000</v>
      </c>
    </row>
    <row r="10" spans="1:14" x14ac:dyDescent="0.25">
      <c r="A10" s="77" t="s">
        <v>10</v>
      </c>
      <c r="B10" s="78"/>
      <c r="C10" s="81">
        <v>2.5000000000000001E-2</v>
      </c>
      <c r="D10" s="81">
        <v>1.64</v>
      </c>
    </row>
    <row r="11" spans="1:14" x14ac:dyDescent="0.25">
      <c r="A11" s="82" t="s">
        <v>11</v>
      </c>
      <c r="B11" s="78"/>
      <c r="C11" s="83">
        <f t="shared" ref="C11:D11" si="0">C9*C10</f>
        <v>25</v>
      </c>
      <c r="D11" s="83">
        <f t="shared" si="0"/>
        <v>1640</v>
      </c>
    </row>
    <row r="12" spans="1:14" x14ac:dyDescent="0.25">
      <c r="A12" s="82" t="s">
        <v>12</v>
      </c>
      <c r="B12" s="84">
        <v>8.0000000000000004E-4</v>
      </c>
      <c r="C12" s="83">
        <f t="shared" ref="C12:C13" si="1">C11*B12</f>
        <v>0.02</v>
      </c>
      <c r="D12" s="85">
        <f t="shared" ref="D12:D13" si="2">D11*B12</f>
        <v>1.3120000000000001</v>
      </c>
    </row>
    <row r="13" spans="1:14" x14ac:dyDescent="0.25">
      <c r="A13" s="82" t="s">
        <v>13</v>
      </c>
      <c r="B13" s="86">
        <v>7.0000000000000007E-2</v>
      </c>
      <c r="C13" s="83">
        <f t="shared" si="1"/>
        <v>1.4000000000000002E-3</v>
      </c>
      <c r="D13" s="85">
        <f t="shared" si="2"/>
        <v>9.1840000000000019E-2</v>
      </c>
    </row>
    <row r="14" spans="1:14" x14ac:dyDescent="0.25">
      <c r="A14" s="82"/>
      <c r="B14" s="87"/>
      <c r="C14" s="88">
        <f t="shared" ref="C14:D14" si="3">SUM(C12:C13)</f>
        <v>2.1400000000000002E-2</v>
      </c>
      <c r="D14" s="89">
        <f t="shared" si="3"/>
        <v>1.40384</v>
      </c>
    </row>
    <row r="15" spans="1:14" x14ac:dyDescent="0.25">
      <c r="A15" s="82" t="s">
        <v>14</v>
      </c>
      <c r="B15" s="90">
        <v>3.2499999999999999E-4</v>
      </c>
      <c r="C15" s="83">
        <f>B15*C11</f>
        <v>8.1250000000000003E-3</v>
      </c>
      <c r="D15" s="83">
        <f>B15*D11</f>
        <v>0.53300000000000003</v>
      </c>
    </row>
    <row r="16" spans="1:14" x14ac:dyDescent="0.25">
      <c r="A16" s="82" t="s">
        <v>13</v>
      </c>
      <c r="B16" s="91">
        <v>7.0000000000000007E-2</v>
      </c>
      <c r="C16" s="83">
        <f>C15*B16</f>
        <v>5.6875000000000003E-4</v>
      </c>
      <c r="D16" s="83">
        <f>D15*B16</f>
        <v>3.7310000000000003E-2</v>
      </c>
    </row>
    <row r="17" spans="1:4" x14ac:dyDescent="0.25">
      <c r="A17" s="82"/>
      <c r="B17" s="92"/>
      <c r="C17" s="88">
        <f t="shared" ref="C17:D17" si="4">SUM(C15:C16)</f>
        <v>8.6937500000000001E-3</v>
      </c>
      <c r="D17" s="88">
        <f t="shared" si="4"/>
        <v>0.57030999999999998</v>
      </c>
    </row>
    <row r="18" spans="1:4" x14ac:dyDescent="0.25">
      <c r="A18" s="82" t="s">
        <v>15</v>
      </c>
      <c r="B18" s="90">
        <v>7.4999999999999993E-5</v>
      </c>
      <c r="C18" s="83">
        <f>B18*C11</f>
        <v>1.8749999999999999E-3</v>
      </c>
      <c r="D18" s="83">
        <f>B18*D11</f>
        <v>0.12299999999999998</v>
      </c>
    </row>
    <row r="19" spans="1:4" x14ac:dyDescent="0.25">
      <c r="A19" s="82" t="s">
        <v>13</v>
      </c>
      <c r="B19" s="90">
        <v>7.0000000000000007E-2</v>
      </c>
      <c r="C19" s="83">
        <f>C18*B19</f>
        <v>1.3125000000000002E-4</v>
      </c>
      <c r="D19" s="83">
        <f>D18*B19</f>
        <v>8.6099999999999996E-3</v>
      </c>
    </row>
    <row r="20" spans="1:4" x14ac:dyDescent="0.25">
      <c r="A20" s="82"/>
      <c r="B20" s="93"/>
      <c r="C20" s="88">
        <f t="shared" ref="C20:D20" si="5">SUM(C18:C19)</f>
        <v>2.0062499999999998E-3</v>
      </c>
      <c r="D20" s="88">
        <f t="shared" si="5"/>
        <v>0.13160999999999998</v>
      </c>
    </row>
    <row r="21" spans="1:4" x14ac:dyDescent="0.25">
      <c r="A21" s="82" t="s">
        <v>44</v>
      </c>
      <c r="B21" s="78"/>
      <c r="C21" s="94">
        <v>0.35</v>
      </c>
      <c r="D21" s="94">
        <v>0.35</v>
      </c>
    </row>
    <row r="22" spans="1:4" x14ac:dyDescent="0.25">
      <c r="A22" s="82"/>
      <c r="B22" s="90">
        <v>7.0000000000000007E-2</v>
      </c>
      <c r="C22" s="94">
        <f t="shared" ref="C22:D22" si="6">C21*$B$17</f>
        <v>0</v>
      </c>
      <c r="D22" s="94">
        <f t="shared" si="6"/>
        <v>0</v>
      </c>
    </row>
    <row r="23" spans="1:4" x14ac:dyDescent="0.25">
      <c r="A23" s="78"/>
      <c r="B23" s="78"/>
      <c r="C23" s="95">
        <f t="shared" ref="C23:D23" si="7">SUM(C21:C22)</f>
        <v>0.35</v>
      </c>
      <c r="D23" s="95">
        <f t="shared" si="7"/>
        <v>0.35</v>
      </c>
    </row>
    <row r="24" spans="1:4" x14ac:dyDescent="0.25">
      <c r="A24" s="96" t="s">
        <v>17</v>
      </c>
      <c r="B24" s="78"/>
      <c r="C24" s="97">
        <f>C11+C14+C17+C20+C23</f>
        <v>25.382100000000001</v>
      </c>
      <c r="D24" s="97">
        <f>D11-D14-D17-D20-D23</f>
        <v>1637.5442400000002</v>
      </c>
    </row>
    <row r="25" spans="1:4" x14ac:dyDescent="0.25">
      <c r="A25" s="82" t="s">
        <v>45</v>
      </c>
      <c r="B25" s="78"/>
      <c r="C25" s="170">
        <f>D24-C24</f>
        <v>1612.1621400000001</v>
      </c>
      <c r="D25" s="138"/>
    </row>
    <row r="28" spans="1:4" x14ac:dyDescent="0.25">
      <c r="A28" s="171" t="s">
        <v>46</v>
      </c>
      <c r="B28" s="172"/>
      <c r="C28" s="172"/>
      <c r="D28" s="172"/>
    </row>
    <row r="29" spans="1:4" x14ac:dyDescent="0.25">
      <c r="A29" s="98" t="s">
        <v>6</v>
      </c>
      <c r="B29" s="78"/>
      <c r="C29" s="99" t="s">
        <v>7</v>
      </c>
      <c r="D29" s="99" t="s">
        <v>8</v>
      </c>
    </row>
    <row r="30" spans="1:4" x14ac:dyDescent="0.25">
      <c r="A30" s="98" t="s">
        <v>9</v>
      </c>
      <c r="B30" s="78"/>
      <c r="C30" s="80">
        <v>10</v>
      </c>
      <c r="D30" s="100">
        <v>10</v>
      </c>
    </row>
    <row r="31" spans="1:4" x14ac:dyDescent="0.25">
      <c r="A31" s="98" t="s">
        <v>10</v>
      </c>
      <c r="B31" s="78"/>
      <c r="C31" s="81">
        <v>956.3</v>
      </c>
      <c r="D31" s="101">
        <v>956.3</v>
      </c>
    </row>
    <row r="32" spans="1:4" x14ac:dyDescent="0.25">
      <c r="A32" s="102" t="s">
        <v>11</v>
      </c>
      <c r="B32" s="78"/>
      <c r="C32" s="83">
        <f t="shared" ref="C32:D32" si="8">C30*C31</f>
        <v>9563</v>
      </c>
      <c r="D32" s="83">
        <f t="shared" si="8"/>
        <v>9563</v>
      </c>
    </row>
    <row r="33" spans="1:5" x14ac:dyDescent="0.25">
      <c r="A33" s="102" t="s">
        <v>12</v>
      </c>
      <c r="B33" s="78"/>
      <c r="C33" s="103">
        <v>1.88</v>
      </c>
      <c r="D33" s="104">
        <v>1.88</v>
      </c>
    </row>
    <row r="34" spans="1:5" x14ac:dyDescent="0.25">
      <c r="A34" s="102" t="s">
        <v>13</v>
      </c>
      <c r="B34" s="86">
        <v>7.0000000000000007E-2</v>
      </c>
      <c r="C34" s="83">
        <f>C33*B34</f>
        <v>0.13159999999999999</v>
      </c>
      <c r="D34" s="83">
        <f>D33*B34</f>
        <v>0.13159999999999999</v>
      </c>
    </row>
    <row r="35" spans="1:5" x14ac:dyDescent="0.25">
      <c r="A35" s="82"/>
      <c r="B35" s="87"/>
      <c r="C35" s="105">
        <f t="shared" ref="C35:D35" si="9">SUM(C33:C34)</f>
        <v>2.0116000000000001</v>
      </c>
      <c r="D35" s="105">
        <f t="shared" si="9"/>
        <v>2.0116000000000001</v>
      </c>
    </row>
    <row r="36" spans="1:5" x14ac:dyDescent="0.25">
      <c r="A36" s="106" t="s">
        <v>47</v>
      </c>
      <c r="B36" s="78"/>
      <c r="C36" s="97">
        <f>C32+C35</f>
        <v>9565.0115999999998</v>
      </c>
      <c r="D36" s="97">
        <f>D32-D35</f>
        <v>9560.9884000000002</v>
      </c>
    </row>
    <row r="37" spans="1:5" x14ac:dyDescent="0.25">
      <c r="A37" s="102" t="s">
        <v>45</v>
      </c>
      <c r="B37" s="78"/>
      <c r="C37" s="170">
        <f>D36-C36</f>
        <v>-4.0231999999996333</v>
      </c>
      <c r="D37" s="138"/>
    </row>
    <row r="40" spans="1:5" x14ac:dyDescent="0.25">
      <c r="A40" s="173" t="s">
        <v>48</v>
      </c>
      <c r="B40" s="138"/>
      <c r="C40" s="138"/>
      <c r="D40" s="138"/>
      <c r="E40" s="138"/>
    </row>
    <row r="41" spans="1:5" x14ac:dyDescent="0.25">
      <c r="A41" s="77" t="s">
        <v>6</v>
      </c>
      <c r="B41" s="78"/>
      <c r="C41" s="79" t="s">
        <v>7</v>
      </c>
      <c r="D41" s="79" t="s">
        <v>8</v>
      </c>
      <c r="E41" s="107" t="s">
        <v>49</v>
      </c>
    </row>
    <row r="42" spans="1:5" x14ac:dyDescent="0.25">
      <c r="A42" s="77" t="s">
        <v>9</v>
      </c>
      <c r="B42" s="78"/>
      <c r="C42" s="80">
        <v>400</v>
      </c>
      <c r="D42" s="100">
        <v>400</v>
      </c>
      <c r="E42" s="108">
        <v>30</v>
      </c>
    </row>
    <row r="43" spans="1:5" x14ac:dyDescent="0.25">
      <c r="A43" s="77" t="s">
        <v>10</v>
      </c>
      <c r="B43" s="78"/>
      <c r="C43" s="81">
        <v>191</v>
      </c>
      <c r="D43" s="101">
        <v>192</v>
      </c>
      <c r="E43" s="109"/>
    </row>
    <row r="44" spans="1:5" x14ac:dyDescent="0.25">
      <c r="A44" s="82" t="s">
        <v>11</v>
      </c>
      <c r="B44" s="78"/>
      <c r="C44" s="83">
        <f t="shared" ref="C44:D44" si="10">C42*C43</f>
        <v>76400</v>
      </c>
      <c r="D44" s="83">
        <f t="shared" si="10"/>
        <v>76800</v>
      </c>
      <c r="E44" s="109"/>
    </row>
    <row r="45" spans="1:5" x14ac:dyDescent="0.25">
      <c r="A45" s="82" t="s">
        <v>12</v>
      </c>
      <c r="B45" s="110">
        <v>8.0000000000000004E-4</v>
      </c>
      <c r="C45" s="83">
        <f>IF(B45*C44&lt;E42,E42,B45*C44)</f>
        <v>61.120000000000005</v>
      </c>
      <c r="D45" s="83">
        <f>IF(B45*D44&lt;E42,E42,B45*D44)</f>
        <v>61.440000000000005</v>
      </c>
      <c r="E45" s="109"/>
    </row>
    <row r="46" spans="1:5" x14ac:dyDescent="0.25">
      <c r="A46" s="82" t="s">
        <v>13</v>
      </c>
      <c r="B46" s="86">
        <v>7.0000000000000007E-2</v>
      </c>
      <c r="C46" s="83">
        <f>C45*B46</f>
        <v>4.2784000000000004</v>
      </c>
      <c r="D46" s="83">
        <f>D45*B46</f>
        <v>4.3008000000000006</v>
      </c>
      <c r="E46" s="109"/>
    </row>
    <row r="47" spans="1:5" x14ac:dyDescent="0.25">
      <c r="A47" s="82"/>
      <c r="B47" s="87"/>
      <c r="C47" s="111">
        <f t="shared" ref="C47:D47" si="11">SUM(C45:C46)</f>
        <v>65.398400000000009</v>
      </c>
      <c r="D47" s="111">
        <f t="shared" si="11"/>
        <v>65.740800000000007</v>
      </c>
      <c r="E47" s="109"/>
    </row>
    <row r="48" spans="1:5" x14ac:dyDescent="0.25">
      <c r="A48" s="82" t="s">
        <v>50</v>
      </c>
      <c r="B48" s="112">
        <v>1.2999999999999999E-3</v>
      </c>
      <c r="C48" s="113">
        <f>C44*B48</f>
        <v>99.32</v>
      </c>
      <c r="D48" s="113">
        <f>D44*B48</f>
        <v>99.839999999999989</v>
      </c>
      <c r="E48" s="109"/>
    </row>
    <row r="49" spans="1:5" x14ac:dyDescent="0.25">
      <c r="A49" s="82"/>
      <c r="B49" s="78"/>
      <c r="C49" s="95">
        <f t="shared" ref="C49:D49" si="12">SUM(C48)</f>
        <v>99.32</v>
      </c>
      <c r="D49" s="95">
        <f t="shared" si="12"/>
        <v>99.839999999999989</v>
      </c>
      <c r="E49" s="109"/>
    </row>
    <row r="50" spans="1:5" x14ac:dyDescent="0.25">
      <c r="A50" s="82" t="s">
        <v>51</v>
      </c>
      <c r="B50" s="114">
        <v>2.0000000000000002E-5</v>
      </c>
      <c r="C50" s="113">
        <f>C44*B50</f>
        <v>1.528</v>
      </c>
      <c r="D50" s="113">
        <f>D44*B50</f>
        <v>1.536</v>
      </c>
      <c r="E50" s="109"/>
    </row>
    <row r="51" spans="1:5" x14ac:dyDescent="0.25">
      <c r="A51" s="82"/>
      <c r="B51" s="78"/>
      <c r="C51" s="95">
        <f t="shared" ref="C51:D51" si="13">SUM(C50)</f>
        <v>1.528</v>
      </c>
      <c r="D51" s="95">
        <f t="shared" si="13"/>
        <v>1.536</v>
      </c>
      <c r="E51" s="109"/>
    </row>
    <row r="52" spans="1:5" x14ac:dyDescent="0.25">
      <c r="A52" s="82" t="s">
        <v>52</v>
      </c>
      <c r="B52" s="114">
        <v>2.6999999999999999E-5</v>
      </c>
      <c r="C52" s="113">
        <f>C44*B52</f>
        <v>2.0627999999999997</v>
      </c>
      <c r="D52" s="113">
        <f>D44*B52</f>
        <v>2.0735999999999999</v>
      </c>
      <c r="E52" s="109"/>
    </row>
    <row r="53" spans="1:5" x14ac:dyDescent="0.25">
      <c r="A53" s="82"/>
      <c r="B53" s="78"/>
      <c r="C53" s="95">
        <f t="shared" ref="C53:D53" si="14">SUM(C52)</f>
        <v>2.0627999999999997</v>
      </c>
      <c r="D53" s="95">
        <f t="shared" si="14"/>
        <v>2.0735999999999999</v>
      </c>
      <c r="E53" s="109"/>
    </row>
    <row r="54" spans="1:5" x14ac:dyDescent="0.25">
      <c r="A54" s="82" t="s">
        <v>53</v>
      </c>
      <c r="B54" s="114">
        <v>5.0000000000000002E-5</v>
      </c>
      <c r="C54" s="113">
        <f>C44*B54</f>
        <v>3.8200000000000003</v>
      </c>
      <c r="D54" s="113">
        <f>D44*B54</f>
        <v>3.8400000000000003</v>
      </c>
      <c r="E54" s="109"/>
    </row>
    <row r="55" spans="1:5" x14ac:dyDescent="0.25">
      <c r="A55" s="82"/>
      <c r="B55" s="78"/>
      <c r="C55" s="115">
        <f t="shared" ref="C55:D55" si="15">SUM(C54)</f>
        <v>3.8200000000000003</v>
      </c>
      <c r="D55" s="115">
        <f t="shared" si="15"/>
        <v>3.8400000000000003</v>
      </c>
      <c r="E55" s="109"/>
    </row>
    <row r="56" spans="1:5" x14ac:dyDescent="0.25">
      <c r="A56" s="96" t="s">
        <v>34</v>
      </c>
      <c r="B56" s="78"/>
      <c r="C56" s="97">
        <f>C44+C47+C49+C51+C53+C55</f>
        <v>76572.129200000025</v>
      </c>
      <c r="D56" s="97">
        <f>D44-D47-D49-D51-D53-D55</f>
        <v>76626.969600000011</v>
      </c>
      <c r="E56" s="109"/>
    </row>
    <row r="57" spans="1:5" x14ac:dyDescent="0.25">
      <c r="A57" s="82" t="s">
        <v>45</v>
      </c>
      <c r="B57" s="78"/>
      <c r="C57" s="170">
        <f>D56-C56</f>
        <v>54.840399999986403</v>
      </c>
      <c r="D57" s="138"/>
      <c r="E57" s="109"/>
    </row>
  </sheetData>
  <mergeCells count="8">
    <mergeCell ref="C37:D37"/>
    <mergeCell ref="A40:E40"/>
    <mergeCell ref="C57:D57"/>
    <mergeCell ref="A2:H5"/>
    <mergeCell ref="J2:N5"/>
    <mergeCell ref="A7:D7"/>
    <mergeCell ref="C25:D25"/>
    <mergeCell ref="A28:D28"/>
  </mergeCells>
  <dataValidations count="3">
    <dataValidation type="list" allowBlank="1" sqref="C33:D33" xr:uid="{00000000-0002-0000-0100-000000000000}">
      <formula1>"3.88,2.88,1.88"</formula1>
    </dataValidation>
    <dataValidation type="list" allowBlank="1" sqref="E42" xr:uid="{00000000-0002-0000-0100-000001000000}">
      <formula1>"30,20,15"</formula1>
    </dataValidation>
    <dataValidation type="list" allowBlank="1" sqref="B45" xr:uid="{00000000-0002-0000-0100-000002000000}">
      <formula1>"0.08%,0.06%,0.05%"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82"/>
  <sheetViews>
    <sheetView workbookViewId="0">
      <selection activeCell="L13" sqref="L13"/>
    </sheetView>
  </sheetViews>
  <sheetFormatPr defaultColWidth="14.42578125" defaultRowHeight="15" customHeight="1" x14ac:dyDescent="0.25"/>
  <sheetData>
    <row r="1" spans="1:14" x14ac:dyDescent="0.25">
      <c r="A1" s="134" t="s">
        <v>79</v>
      </c>
      <c r="B1" s="135"/>
      <c r="C1" s="135"/>
      <c r="D1" s="135"/>
      <c r="E1" s="135"/>
      <c r="F1" s="135"/>
      <c r="G1" s="135"/>
      <c r="H1" s="136"/>
      <c r="J1" s="143" t="s">
        <v>0</v>
      </c>
      <c r="K1" s="135"/>
      <c r="L1" s="135"/>
      <c r="M1" s="135"/>
      <c r="N1" s="136"/>
    </row>
    <row r="2" spans="1:14" x14ac:dyDescent="0.25">
      <c r="A2" s="137"/>
      <c r="B2" s="138"/>
      <c r="C2" s="138"/>
      <c r="D2" s="138"/>
      <c r="E2" s="138"/>
      <c r="F2" s="138"/>
      <c r="G2" s="138"/>
      <c r="H2" s="139"/>
      <c r="J2" s="137"/>
      <c r="K2" s="138"/>
      <c r="L2" s="138"/>
      <c r="M2" s="138"/>
      <c r="N2" s="139"/>
    </row>
    <row r="3" spans="1:14" x14ac:dyDescent="0.25">
      <c r="A3" s="137"/>
      <c r="B3" s="138"/>
      <c r="C3" s="138"/>
      <c r="D3" s="138"/>
      <c r="E3" s="138"/>
      <c r="F3" s="138"/>
      <c r="G3" s="138"/>
      <c r="H3" s="139"/>
      <c r="J3" s="137"/>
      <c r="K3" s="138"/>
      <c r="L3" s="138"/>
      <c r="M3" s="138"/>
      <c r="N3" s="139"/>
    </row>
    <row r="4" spans="1:14" x14ac:dyDescent="0.25">
      <c r="A4" s="140"/>
      <c r="B4" s="141"/>
      <c r="C4" s="141"/>
      <c r="D4" s="141"/>
      <c r="E4" s="141"/>
      <c r="F4" s="141"/>
      <c r="G4" s="141"/>
      <c r="H4" s="142"/>
      <c r="J4" s="140"/>
      <c r="K4" s="141"/>
      <c r="L4" s="141"/>
      <c r="M4" s="141"/>
      <c r="N4" s="142"/>
    </row>
    <row r="6" spans="1:14" x14ac:dyDescent="0.25">
      <c r="A6" s="174" t="s">
        <v>54</v>
      </c>
      <c r="B6" s="172"/>
      <c r="C6" s="172"/>
      <c r="D6" s="172"/>
      <c r="E6" s="172"/>
      <c r="F6" s="172"/>
      <c r="G6" s="172"/>
      <c r="H6" s="172"/>
      <c r="I6" s="172"/>
      <c r="J6" s="172"/>
      <c r="K6" s="175"/>
    </row>
    <row r="7" spans="1:14" x14ac:dyDescent="0.25">
      <c r="A7" s="176"/>
      <c r="B7" s="146"/>
      <c r="C7" s="146"/>
      <c r="D7" s="146"/>
      <c r="E7" s="146"/>
      <c r="F7" s="146"/>
      <c r="G7" s="146"/>
      <c r="H7" s="146"/>
      <c r="I7" s="146"/>
      <c r="J7" s="146"/>
      <c r="K7" s="177"/>
    </row>
    <row r="8" spans="1:14" x14ac:dyDescent="0.25">
      <c r="A8" s="178" t="s">
        <v>55</v>
      </c>
      <c r="B8" s="135"/>
      <c r="C8" s="135"/>
      <c r="D8" s="135"/>
      <c r="E8" s="179"/>
      <c r="G8" s="178" t="s">
        <v>56</v>
      </c>
      <c r="H8" s="135"/>
      <c r="I8" s="135"/>
      <c r="J8" s="135"/>
      <c r="K8" s="179"/>
    </row>
    <row r="9" spans="1:14" x14ac:dyDescent="0.25">
      <c r="A9" s="180"/>
      <c r="B9" s="141"/>
      <c r="C9" s="141"/>
      <c r="D9" s="141"/>
      <c r="E9" s="181"/>
      <c r="G9" s="180"/>
      <c r="H9" s="141"/>
      <c r="I9" s="141"/>
      <c r="J9" s="141"/>
      <c r="K9" s="181"/>
    </row>
    <row r="10" spans="1:14" x14ac:dyDescent="0.25">
      <c r="A10" s="182" t="s">
        <v>57</v>
      </c>
      <c r="B10" s="183"/>
      <c r="C10" s="183"/>
      <c r="D10" s="183"/>
      <c r="E10" s="159"/>
      <c r="G10" s="182" t="s">
        <v>57</v>
      </c>
      <c r="H10" s="183"/>
      <c r="I10" s="183"/>
      <c r="J10" s="183"/>
      <c r="K10" s="159"/>
    </row>
    <row r="11" spans="1:14" x14ac:dyDescent="0.25">
      <c r="A11" s="3" t="s">
        <v>6</v>
      </c>
      <c r="B11" s="4"/>
      <c r="C11" s="5" t="s">
        <v>7</v>
      </c>
      <c r="D11" s="5" t="s">
        <v>8</v>
      </c>
      <c r="E11" s="116" t="s">
        <v>58</v>
      </c>
      <c r="G11" s="3" t="s">
        <v>6</v>
      </c>
      <c r="H11" s="4"/>
      <c r="I11" s="5" t="s">
        <v>7</v>
      </c>
      <c r="J11" s="5" t="s">
        <v>8</v>
      </c>
      <c r="K11" s="116" t="s">
        <v>58</v>
      </c>
    </row>
    <row r="12" spans="1:14" x14ac:dyDescent="0.25">
      <c r="A12" s="3" t="s">
        <v>9</v>
      </c>
      <c r="B12" s="4"/>
      <c r="C12" s="9">
        <v>10000</v>
      </c>
      <c r="D12" s="10">
        <f>C12</f>
        <v>10000</v>
      </c>
      <c r="E12" s="117">
        <v>10</v>
      </c>
      <c r="G12" s="3" t="s">
        <v>9</v>
      </c>
      <c r="H12" s="4"/>
      <c r="I12" s="9">
        <v>12000</v>
      </c>
      <c r="J12" s="10">
        <f>I12</f>
        <v>12000</v>
      </c>
      <c r="K12" s="117">
        <v>90</v>
      </c>
    </row>
    <row r="13" spans="1:14" x14ac:dyDescent="0.25">
      <c r="A13" s="3" t="s">
        <v>10</v>
      </c>
      <c r="B13" s="4"/>
      <c r="C13" s="13">
        <v>0.55000000000000004</v>
      </c>
      <c r="D13" s="13">
        <v>0.88</v>
      </c>
      <c r="E13" s="118"/>
      <c r="G13" s="3" t="s">
        <v>10</v>
      </c>
      <c r="H13" s="4"/>
      <c r="I13" s="13">
        <v>2.5</v>
      </c>
      <c r="J13" s="13">
        <v>10.62</v>
      </c>
      <c r="K13" s="118"/>
    </row>
    <row r="14" spans="1:14" x14ac:dyDescent="0.25">
      <c r="A14" s="15" t="s">
        <v>11</v>
      </c>
      <c r="B14" s="4"/>
      <c r="C14" s="16">
        <f t="shared" ref="C14:D14" si="0">C12*C13</f>
        <v>5500</v>
      </c>
      <c r="D14" s="16">
        <f t="shared" si="0"/>
        <v>8800</v>
      </c>
      <c r="E14" s="118"/>
      <c r="G14" s="15" t="s">
        <v>11</v>
      </c>
      <c r="H14" s="4"/>
      <c r="I14" s="16">
        <f t="shared" ref="I14:J14" si="1">I12*I13</f>
        <v>30000</v>
      </c>
      <c r="J14" s="16">
        <f t="shared" si="1"/>
        <v>127439.99999999999</v>
      </c>
      <c r="K14" s="118"/>
    </row>
    <row r="15" spans="1:14" x14ac:dyDescent="0.25">
      <c r="A15" s="15" t="s">
        <v>12</v>
      </c>
      <c r="B15" s="19">
        <v>1.2800000000000001E-3</v>
      </c>
      <c r="C15" s="16">
        <f>IF(B15*C14&lt;25,25,B15*C14)</f>
        <v>25</v>
      </c>
      <c r="D15" s="16">
        <f>IF(B15*D14&lt;25,25,B15*D14)</f>
        <v>25</v>
      </c>
      <c r="E15" s="118"/>
      <c r="G15" s="15" t="s">
        <v>12</v>
      </c>
      <c r="H15" s="19">
        <v>2E-3</v>
      </c>
      <c r="I15" s="16">
        <f>IF(H15*I14&lt;25,25,H15*I14)</f>
        <v>60</v>
      </c>
      <c r="J15" s="16">
        <f>IF(H15*J14&lt;25,25,H15*J14)</f>
        <v>254.87999999999997</v>
      </c>
      <c r="K15" s="118"/>
    </row>
    <row r="16" spans="1:14" x14ac:dyDescent="0.25">
      <c r="A16" s="15" t="s">
        <v>13</v>
      </c>
      <c r="B16" s="20">
        <v>7.0000000000000007E-2</v>
      </c>
      <c r="C16" s="21">
        <f>C15*B16</f>
        <v>1.7500000000000002</v>
      </c>
      <c r="D16" s="21">
        <f>D15*B16</f>
        <v>1.7500000000000002</v>
      </c>
      <c r="E16" s="184" t="s">
        <v>59</v>
      </c>
      <c r="G16" s="15" t="s">
        <v>13</v>
      </c>
      <c r="H16" s="20">
        <v>7.0000000000000007E-2</v>
      </c>
      <c r="I16" s="21">
        <f>I15*H16</f>
        <v>4.2</v>
      </c>
      <c r="J16" s="21">
        <f>J15*H16</f>
        <v>17.8416</v>
      </c>
      <c r="K16" s="184" t="s">
        <v>59</v>
      </c>
    </row>
    <row r="17" spans="1:11" x14ac:dyDescent="0.25">
      <c r="A17" s="15"/>
      <c r="B17" s="23"/>
      <c r="C17" s="24">
        <f t="shared" ref="C17:D17" si="2">SUM(C15:C16)</f>
        <v>26.75</v>
      </c>
      <c r="D17" s="24">
        <f t="shared" si="2"/>
        <v>26.75</v>
      </c>
      <c r="E17" s="185"/>
      <c r="G17" s="15"/>
      <c r="H17" s="23"/>
      <c r="I17" s="24">
        <f t="shared" ref="I17:J17" si="3">SUM(I15:I16)</f>
        <v>64.2</v>
      </c>
      <c r="J17" s="24">
        <f t="shared" si="3"/>
        <v>272.72159999999997</v>
      </c>
      <c r="K17" s="185"/>
    </row>
    <row r="18" spans="1:11" x14ac:dyDescent="0.25">
      <c r="A18" s="15" t="s">
        <v>60</v>
      </c>
      <c r="B18" s="59"/>
      <c r="C18" s="119">
        <f>C14+C17</f>
        <v>5526.75</v>
      </c>
      <c r="D18" s="119">
        <f>D14-D17</f>
        <v>8773.25</v>
      </c>
      <c r="E18" s="118">
        <f>(0.045/365)*C14*E12</f>
        <v>6.7808219178082183</v>
      </c>
      <c r="G18" s="15" t="s">
        <v>60</v>
      </c>
      <c r="H18" s="59"/>
      <c r="I18" s="119">
        <f>I14+I17</f>
        <v>30064.2</v>
      </c>
      <c r="J18" s="119">
        <f>J14-J17</f>
        <v>127167.27839999998</v>
      </c>
      <c r="K18" s="118">
        <f>(0.045/365)*I14*K12</f>
        <v>332.8767123287671</v>
      </c>
    </row>
    <row r="19" spans="1:11" x14ac:dyDescent="0.25">
      <c r="A19" s="15" t="s">
        <v>61</v>
      </c>
      <c r="B19" s="59"/>
      <c r="C19" s="186">
        <f>D18-C18-E18</f>
        <v>3239.7191780821918</v>
      </c>
      <c r="D19" s="138"/>
      <c r="E19" s="118"/>
      <c r="G19" s="15" t="s">
        <v>62</v>
      </c>
      <c r="H19" s="59"/>
      <c r="I19" s="186">
        <f>J18-I18-K18</f>
        <v>96770.201687671215</v>
      </c>
      <c r="J19" s="138"/>
      <c r="K19" s="118"/>
    </row>
    <row r="20" spans="1:11" x14ac:dyDescent="0.25">
      <c r="A20" s="57"/>
      <c r="B20" s="59"/>
      <c r="C20" s="59"/>
      <c r="D20" s="59"/>
      <c r="E20" s="118"/>
      <c r="G20" s="57"/>
      <c r="H20" s="59"/>
      <c r="I20" s="59"/>
      <c r="J20" s="59"/>
      <c r="K20" s="118"/>
    </row>
    <row r="21" spans="1:11" x14ac:dyDescent="0.25">
      <c r="A21" s="182" t="s">
        <v>63</v>
      </c>
      <c r="B21" s="183"/>
      <c r="C21" s="183"/>
      <c r="D21" s="183"/>
      <c r="E21" s="159"/>
      <c r="G21" s="182" t="s">
        <v>63</v>
      </c>
      <c r="H21" s="183"/>
      <c r="I21" s="183"/>
      <c r="J21" s="183"/>
      <c r="K21" s="159"/>
    </row>
    <row r="22" spans="1:11" x14ac:dyDescent="0.25">
      <c r="A22" s="3" t="s">
        <v>6</v>
      </c>
      <c r="B22" s="4"/>
      <c r="C22" s="5" t="s">
        <v>7</v>
      </c>
      <c r="D22" s="5" t="s">
        <v>8</v>
      </c>
      <c r="E22" s="116" t="s">
        <v>58</v>
      </c>
      <c r="G22" s="3" t="s">
        <v>6</v>
      </c>
      <c r="H22" s="4"/>
      <c r="I22" s="5" t="s">
        <v>7</v>
      </c>
      <c r="J22" s="5" t="s">
        <v>8</v>
      </c>
      <c r="K22" s="116" t="s">
        <v>58</v>
      </c>
    </row>
    <row r="23" spans="1:11" x14ac:dyDescent="0.25">
      <c r="A23" s="3" t="s">
        <v>9</v>
      </c>
      <c r="B23" s="4"/>
      <c r="C23" s="9">
        <v>100000</v>
      </c>
      <c r="D23" s="10">
        <f>C23</f>
        <v>100000</v>
      </c>
      <c r="E23" s="117">
        <v>5</v>
      </c>
      <c r="G23" s="3" t="s">
        <v>9</v>
      </c>
      <c r="H23" s="4"/>
      <c r="I23" s="9">
        <v>20000</v>
      </c>
      <c r="J23" s="10">
        <f>I23</f>
        <v>20000</v>
      </c>
      <c r="K23" s="117">
        <v>3</v>
      </c>
    </row>
    <row r="24" spans="1:11" x14ac:dyDescent="0.25">
      <c r="A24" s="3" t="s">
        <v>10</v>
      </c>
      <c r="B24" s="4"/>
      <c r="C24" s="13">
        <v>2.2799999999999998</v>
      </c>
      <c r="D24" s="13">
        <v>0.5</v>
      </c>
      <c r="E24" s="118"/>
      <c r="G24" s="3" t="s">
        <v>10</v>
      </c>
      <c r="H24" s="4"/>
      <c r="I24" s="13">
        <v>0.79500000000000004</v>
      </c>
      <c r="J24" s="13">
        <v>0.82</v>
      </c>
      <c r="K24" s="118"/>
    </row>
    <row r="25" spans="1:11" x14ac:dyDescent="0.25">
      <c r="A25" s="15" t="s">
        <v>11</v>
      </c>
      <c r="B25" s="4"/>
      <c r="C25" s="16">
        <f t="shared" ref="C25:D25" si="4">C23*C24</f>
        <v>227999.99999999997</v>
      </c>
      <c r="D25" s="16">
        <f t="shared" si="4"/>
        <v>50000</v>
      </c>
      <c r="E25" s="118"/>
      <c r="G25" s="15" t="s">
        <v>11</v>
      </c>
      <c r="H25" s="4"/>
      <c r="I25" s="16">
        <f t="shared" ref="I25:J25" si="5">I23*I24</f>
        <v>15900</v>
      </c>
      <c r="J25" s="16">
        <f t="shared" si="5"/>
        <v>16400</v>
      </c>
      <c r="K25" s="118"/>
    </row>
    <row r="26" spans="1:11" x14ac:dyDescent="0.25">
      <c r="A26" s="15" t="s">
        <v>12</v>
      </c>
      <c r="B26" s="19">
        <v>1.8E-3</v>
      </c>
      <c r="C26" s="16">
        <f>IF(B26*C25&lt;25,25,B26*C25)</f>
        <v>410.39999999999992</v>
      </c>
      <c r="D26" s="16">
        <f>IF(B26*D25&lt;25,25,B26*D25)</f>
        <v>90</v>
      </c>
      <c r="E26" s="118"/>
      <c r="G26" s="15" t="s">
        <v>12</v>
      </c>
      <c r="H26" s="19">
        <v>2.5000000000000001E-3</v>
      </c>
      <c r="I26" s="16">
        <f>IF(H26*I25&lt;25,25,H26*I25)</f>
        <v>39.75</v>
      </c>
      <c r="J26" s="16">
        <f>IF(H26*J25&lt;25,25,H26*J25)</f>
        <v>41</v>
      </c>
      <c r="K26" s="118"/>
    </row>
    <row r="27" spans="1:11" x14ac:dyDescent="0.25">
      <c r="A27" s="15" t="s">
        <v>13</v>
      </c>
      <c r="B27" s="20">
        <v>7.0000000000000007E-2</v>
      </c>
      <c r="C27" s="21">
        <f>C26*B27</f>
        <v>28.727999999999998</v>
      </c>
      <c r="D27" s="21">
        <f>D26*B27</f>
        <v>6.3000000000000007</v>
      </c>
      <c r="E27" s="184" t="s">
        <v>59</v>
      </c>
      <c r="G27" s="15" t="s">
        <v>13</v>
      </c>
      <c r="H27" s="20">
        <v>7.0000000000000007E-2</v>
      </c>
      <c r="I27" s="21">
        <f>I26*H27</f>
        <v>2.7825000000000002</v>
      </c>
      <c r="J27" s="21">
        <f>J26*H27</f>
        <v>2.87</v>
      </c>
      <c r="K27" s="184" t="s">
        <v>59</v>
      </c>
    </row>
    <row r="28" spans="1:11" x14ac:dyDescent="0.25">
      <c r="A28" s="15"/>
      <c r="B28" s="23"/>
      <c r="C28" s="24">
        <f t="shared" ref="C28:D28" si="6">SUM(C26:C27)</f>
        <v>439.12799999999993</v>
      </c>
      <c r="D28" s="24">
        <f t="shared" si="6"/>
        <v>96.3</v>
      </c>
      <c r="E28" s="185"/>
      <c r="G28" s="15"/>
      <c r="H28" s="23"/>
      <c r="I28" s="24">
        <f t="shared" ref="I28:J28" si="7">SUM(I26:I27)</f>
        <v>42.532499999999999</v>
      </c>
      <c r="J28" s="24">
        <f t="shared" si="7"/>
        <v>43.87</v>
      </c>
      <c r="K28" s="185"/>
    </row>
    <row r="29" spans="1:11" x14ac:dyDescent="0.25">
      <c r="A29" s="15" t="s">
        <v>60</v>
      </c>
      <c r="B29" s="59"/>
      <c r="C29" s="119">
        <f>C25+C28</f>
        <v>228439.12799999997</v>
      </c>
      <c r="D29" s="119">
        <f>D25-D28</f>
        <v>49903.7</v>
      </c>
      <c r="E29" s="118">
        <f>(0.045/365)*C25*E23</f>
        <v>140.54794520547944</v>
      </c>
      <c r="G29" s="15" t="s">
        <v>60</v>
      </c>
      <c r="H29" s="59"/>
      <c r="I29" s="119">
        <f>I25+I28</f>
        <v>15942.532499999999</v>
      </c>
      <c r="J29" s="119">
        <f>J25-J28</f>
        <v>16356.13</v>
      </c>
      <c r="K29" s="118">
        <f>(0.045/365)*I25*K23</f>
        <v>5.8808219178082188</v>
      </c>
    </row>
    <row r="30" spans="1:11" x14ac:dyDescent="0.25">
      <c r="A30" s="62" t="s">
        <v>64</v>
      </c>
      <c r="B30" s="63"/>
      <c r="C30" s="187">
        <f>D29-C29-E29</f>
        <v>-178675.97594520543</v>
      </c>
      <c r="D30" s="146"/>
      <c r="E30" s="64"/>
      <c r="G30" s="62" t="s">
        <v>65</v>
      </c>
      <c r="H30" s="63"/>
      <c r="I30" s="187">
        <f>J29-I29-K29</f>
        <v>407.71667808219166</v>
      </c>
      <c r="J30" s="146"/>
      <c r="K30" s="64"/>
    </row>
    <row r="33" spans="1:11" x14ac:dyDescent="0.25">
      <c r="A33" s="188" t="s">
        <v>66</v>
      </c>
      <c r="B33" s="172"/>
      <c r="C33" s="172"/>
      <c r="D33" s="172"/>
      <c r="E33" s="175"/>
      <c r="G33" s="188" t="s">
        <v>67</v>
      </c>
      <c r="H33" s="172"/>
      <c r="I33" s="172"/>
      <c r="J33" s="172"/>
      <c r="K33" s="175"/>
    </row>
    <row r="34" spans="1:11" x14ac:dyDescent="0.25">
      <c r="A34" s="180"/>
      <c r="B34" s="141"/>
      <c r="C34" s="141"/>
      <c r="D34" s="141"/>
      <c r="E34" s="181"/>
      <c r="G34" s="180"/>
      <c r="H34" s="141"/>
      <c r="I34" s="141"/>
      <c r="J34" s="141"/>
      <c r="K34" s="181"/>
    </row>
    <row r="35" spans="1:11" x14ac:dyDescent="0.25">
      <c r="A35" s="182" t="s">
        <v>57</v>
      </c>
      <c r="B35" s="183"/>
      <c r="C35" s="183"/>
      <c r="D35" s="183"/>
      <c r="E35" s="159"/>
      <c r="G35" s="182" t="s">
        <v>57</v>
      </c>
      <c r="H35" s="183"/>
      <c r="I35" s="183"/>
      <c r="J35" s="183"/>
      <c r="K35" s="159"/>
    </row>
    <row r="36" spans="1:11" x14ac:dyDescent="0.25">
      <c r="A36" s="3" t="s">
        <v>6</v>
      </c>
      <c r="B36" s="4"/>
      <c r="C36" s="5" t="s">
        <v>7</v>
      </c>
      <c r="D36" s="5" t="s">
        <v>8</v>
      </c>
      <c r="E36" s="116" t="s">
        <v>58</v>
      </c>
      <c r="G36" s="3" t="s">
        <v>6</v>
      </c>
      <c r="H36" s="4"/>
      <c r="I36" s="5" t="s">
        <v>7</v>
      </c>
      <c r="J36" s="5" t="s">
        <v>8</v>
      </c>
      <c r="K36" s="116" t="s">
        <v>58</v>
      </c>
    </row>
    <row r="37" spans="1:11" x14ac:dyDescent="0.25">
      <c r="A37" s="3" t="s">
        <v>9</v>
      </c>
      <c r="B37" s="4"/>
      <c r="C37" s="9">
        <v>100000</v>
      </c>
      <c r="D37" s="10">
        <f>C37</f>
        <v>100000</v>
      </c>
      <c r="E37" s="117">
        <v>3</v>
      </c>
      <c r="G37" s="3" t="s">
        <v>9</v>
      </c>
      <c r="H37" s="4"/>
      <c r="I37" s="9">
        <v>3000</v>
      </c>
      <c r="J37" s="10">
        <f>I37</f>
        <v>3000</v>
      </c>
      <c r="K37" s="117">
        <v>5</v>
      </c>
    </row>
    <row r="38" spans="1:11" x14ac:dyDescent="0.25">
      <c r="A38" s="3" t="s">
        <v>10</v>
      </c>
      <c r="B38" s="4"/>
      <c r="C38" s="13">
        <v>0.54</v>
      </c>
      <c r="D38" s="13">
        <v>4.1500000000000004</v>
      </c>
      <c r="E38" s="118"/>
      <c r="G38" s="3" t="s">
        <v>10</v>
      </c>
      <c r="H38" s="4"/>
      <c r="I38" s="13">
        <v>10.74</v>
      </c>
      <c r="J38" s="13">
        <v>10.94</v>
      </c>
      <c r="K38" s="118"/>
    </row>
    <row r="39" spans="1:11" x14ac:dyDescent="0.25">
      <c r="A39" s="15" t="s">
        <v>11</v>
      </c>
      <c r="B39" s="4"/>
      <c r="C39" s="16">
        <f t="shared" ref="C39:D39" si="8">C37*C38</f>
        <v>54000</v>
      </c>
      <c r="D39" s="16">
        <f t="shared" si="8"/>
        <v>415000.00000000006</v>
      </c>
      <c r="E39" s="118"/>
      <c r="G39" s="15" t="s">
        <v>11</v>
      </c>
      <c r="H39" s="4"/>
      <c r="I39" s="16">
        <f t="shared" ref="I39:J39" si="9">I37*I38</f>
        <v>32220</v>
      </c>
      <c r="J39" s="16">
        <f t="shared" si="9"/>
        <v>32820</v>
      </c>
      <c r="K39" s="118"/>
    </row>
    <row r="40" spans="1:11" x14ac:dyDescent="0.25">
      <c r="A40" s="15" t="s">
        <v>12</v>
      </c>
      <c r="B40" s="19">
        <v>1.2800000000000001E-3</v>
      </c>
      <c r="C40" s="16">
        <f>IF(B40*C39&lt;25,25,B40*C39)</f>
        <v>69.12</v>
      </c>
      <c r="D40" s="16">
        <f>IF(B40*D39&lt;25,25,B40*D39)</f>
        <v>531.20000000000016</v>
      </c>
      <c r="E40" s="189" t="s">
        <v>68</v>
      </c>
      <c r="G40" s="15" t="s">
        <v>12</v>
      </c>
      <c r="H40" s="19">
        <v>2E-3</v>
      </c>
      <c r="I40" s="16">
        <f>IF(H40*I39&lt;25,25,H40*I39)</f>
        <v>64.44</v>
      </c>
      <c r="J40" s="16">
        <f>IF(H40*J39&lt;25,25,H40*J39)</f>
        <v>65.64</v>
      </c>
      <c r="K40" s="189" t="s">
        <v>68</v>
      </c>
    </row>
    <row r="41" spans="1:11" x14ac:dyDescent="0.25">
      <c r="A41" s="15" t="s">
        <v>13</v>
      </c>
      <c r="B41" s="20">
        <v>7.0000000000000007E-2</v>
      </c>
      <c r="C41" s="21">
        <f>C40*B41</f>
        <v>4.8384000000000009</v>
      </c>
      <c r="D41" s="21">
        <f>D40*B41</f>
        <v>37.184000000000012</v>
      </c>
      <c r="E41" s="185"/>
      <c r="G41" s="15" t="s">
        <v>13</v>
      </c>
      <c r="H41" s="20">
        <v>7.0000000000000007E-2</v>
      </c>
      <c r="I41" s="21">
        <f>I40*H41</f>
        <v>4.5108000000000006</v>
      </c>
      <c r="J41" s="21">
        <f>J40*H41</f>
        <v>4.5948000000000002</v>
      </c>
      <c r="K41" s="185"/>
    </row>
    <row r="42" spans="1:11" x14ac:dyDescent="0.25">
      <c r="A42" s="15"/>
      <c r="B42" s="23"/>
      <c r="C42" s="24">
        <f t="shared" ref="C42:D42" si="10">SUM(C40:C41)</f>
        <v>73.958400000000012</v>
      </c>
      <c r="D42" s="24">
        <f t="shared" si="10"/>
        <v>568.38400000000013</v>
      </c>
      <c r="E42" s="120">
        <v>0.03</v>
      </c>
      <c r="G42" s="15"/>
      <c r="H42" s="23"/>
      <c r="I42" s="24">
        <f t="shared" ref="I42:J42" si="11">SUM(I40:I41)</f>
        <v>68.950800000000001</v>
      </c>
      <c r="J42" s="24">
        <f t="shared" si="11"/>
        <v>70.234800000000007</v>
      </c>
      <c r="K42" s="120">
        <v>0.03</v>
      </c>
    </row>
    <row r="43" spans="1:11" x14ac:dyDescent="0.25">
      <c r="A43" s="15" t="s">
        <v>60</v>
      </c>
      <c r="B43" s="59"/>
      <c r="C43" s="119">
        <f>C39+C42</f>
        <v>54073.958400000003</v>
      </c>
      <c r="D43" s="119">
        <f>D39-D42</f>
        <v>414431.61600000004</v>
      </c>
      <c r="E43" s="118">
        <f>(E42/365)*C39*E37</f>
        <v>13.315068493150685</v>
      </c>
      <c r="G43" s="15" t="s">
        <v>60</v>
      </c>
      <c r="H43" s="59"/>
      <c r="I43" s="119">
        <f>I39+I42</f>
        <v>32288.950799999999</v>
      </c>
      <c r="J43" s="119">
        <f>J39-J42</f>
        <v>32749.765200000002</v>
      </c>
      <c r="K43" s="118">
        <f>(K42/365)*I39*K37</f>
        <v>13.241095890410959</v>
      </c>
    </row>
    <row r="44" spans="1:11" x14ac:dyDescent="0.25">
      <c r="A44" s="15" t="s">
        <v>69</v>
      </c>
      <c r="B44" s="59"/>
      <c r="C44" s="186">
        <f>D43-C43-E43</f>
        <v>360344.3425315069</v>
      </c>
      <c r="D44" s="138"/>
      <c r="E44" s="118"/>
      <c r="G44" s="15" t="s">
        <v>70</v>
      </c>
      <c r="H44" s="59"/>
      <c r="I44" s="186">
        <f>J43-I43-K43</f>
        <v>447.57330410959196</v>
      </c>
      <c r="J44" s="138"/>
      <c r="K44" s="118"/>
    </row>
    <row r="45" spans="1:11" x14ac:dyDescent="0.25">
      <c r="A45" s="57"/>
      <c r="B45" s="59"/>
      <c r="C45" s="59"/>
      <c r="D45" s="59"/>
      <c r="E45" s="118"/>
      <c r="G45" s="57"/>
      <c r="H45" s="59"/>
      <c r="I45" s="59"/>
      <c r="J45" s="59"/>
      <c r="K45" s="118"/>
    </row>
    <row r="46" spans="1:11" x14ac:dyDescent="0.25">
      <c r="A46" s="182" t="s">
        <v>63</v>
      </c>
      <c r="B46" s="183"/>
      <c r="C46" s="183"/>
      <c r="D46" s="183"/>
      <c r="E46" s="159"/>
      <c r="G46" s="182" t="s">
        <v>63</v>
      </c>
      <c r="H46" s="183"/>
      <c r="I46" s="183"/>
      <c r="J46" s="183"/>
      <c r="K46" s="159"/>
    </row>
    <row r="47" spans="1:11" x14ac:dyDescent="0.25">
      <c r="A47" s="3" t="s">
        <v>6</v>
      </c>
      <c r="B47" s="4"/>
      <c r="C47" s="5" t="s">
        <v>7</v>
      </c>
      <c r="D47" s="5" t="s">
        <v>8</v>
      </c>
      <c r="E47" s="116" t="s">
        <v>58</v>
      </c>
      <c r="G47" s="3" t="s">
        <v>6</v>
      </c>
      <c r="H47" s="4"/>
      <c r="I47" s="5" t="s">
        <v>7</v>
      </c>
      <c r="J47" s="5" t="s">
        <v>8</v>
      </c>
      <c r="K47" s="116" t="s">
        <v>58</v>
      </c>
    </row>
    <row r="48" spans="1:11" x14ac:dyDescent="0.25">
      <c r="A48" s="3" t="s">
        <v>9</v>
      </c>
      <c r="B48" s="4"/>
      <c r="C48" s="9">
        <v>20000</v>
      </c>
      <c r="D48" s="10">
        <f>C48</f>
        <v>20000</v>
      </c>
      <c r="E48" s="117">
        <v>10</v>
      </c>
      <c r="G48" s="3" t="s">
        <v>9</v>
      </c>
      <c r="H48" s="4"/>
      <c r="I48" s="9">
        <v>10000</v>
      </c>
      <c r="J48" s="10">
        <f>I48</f>
        <v>10000</v>
      </c>
      <c r="K48" s="117">
        <v>10</v>
      </c>
    </row>
    <row r="49" spans="1:11" x14ac:dyDescent="0.25">
      <c r="A49" s="3" t="s">
        <v>10</v>
      </c>
      <c r="B49" s="4"/>
      <c r="C49" s="13">
        <v>1.0649999999999999</v>
      </c>
      <c r="D49" s="13">
        <v>1.085</v>
      </c>
      <c r="E49" s="118"/>
      <c r="G49" s="3" t="s">
        <v>10</v>
      </c>
      <c r="H49" s="4"/>
      <c r="I49" s="13">
        <v>0.76</v>
      </c>
      <c r="J49" s="13">
        <v>0.83</v>
      </c>
      <c r="K49" s="118"/>
    </row>
    <row r="50" spans="1:11" x14ac:dyDescent="0.25">
      <c r="A50" s="15" t="s">
        <v>11</v>
      </c>
      <c r="B50" s="4"/>
      <c r="C50" s="16">
        <f t="shared" ref="C50:D50" si="12">C48*C49</f>
        <v>21300</v>
      </c>
      <c r="D50" s="16">
        <f t="shared" si="12"/>
        <v>21700</v>
      </c>
      <c r="E50" s="118"/>
      <c r="G50" s="15" t="s">
        <v>11</v>
      </c>
      <c r="H50" s="4"/>
      <c r="I50" s="16">
        <f t="shared" ref="I50:J50" si="13">I48*I49</f>
        <v>7600</v>
      </c>
      <c r="J50" s="16">
        <f t="shared" si="13"/>
        <v>8300</v>
      </c>
      <c r="K50" s="118"/>
    </row>
    <row r="51" spans="1:11" x14ac:dyDescent="0.25">
      <c r="A51" s="15" t="s">
        <v>12</v>
      </c>
      <c r="B51" s="19">
        <v>1.8E-3</v>
      </c>
      <c r="C51" s="16">
        <f>IF(B51*C50&lt;25,25,B51*C50)</f>
        <v>38.339999999999996</v>
      </c>
      <c r="D51" s="16">
        <f>IF(B51*D50&lt;25,25,B51*D50)</f>
        <v>39.06</v>
      </c>
      <c r="E51" s="189" t="s">
        <v>68</v>
      </c>
      <c r="G51" s="15" t="s">
        <v>12</v>
      </c>
      <c r="H51" s="19">
        <v>2.5000000000000001E-3</v>
      </c>
      <c r="I51" s="16">
        <f>IF(H51*I50&lt;25,25,H51*I50)</f>
        <v>25</v>
      </c>
      <c r="J51" s="16">
        <f>IF(H51*J50&lt;25,25,H51*J50)</f>
        <v>25</v>
      </c>
      <c r="K51" s="189" t="s">
        <v>68</v>
      </c>
    </row>
    <row r="52" spans="1:11" x14ac:dyDescent="0.25">
      <c r="A52" s="15" t="s">
        <v>13</v>
      </c>
      <c r="B52" s="20">
        <v>7.0000000000000007E-2</v>
      </c>
      <c r="C52" s="21">
        <f>C51*B52</f>
        <v>2.6838000000000002</v>
      </c>
      <c r="D52" s="21">
        <f>D51*B52</f>
        <v>2.7342000000000004</v>
      </c>
      <c r="E52" s="185"/>
      <c r="G52" s="15" t="s">
        <v>13</v>
      </c>
      <c r="H52" s="20">
        <v>7.0000000000000007E-2</v>
      </c>
      <c r="I52" s="21">
        <f>I51*H52</f>
        <v>1.7500000000000002</v>
      </c>
      <c r="J52" s="21">
        <f>J51*H52</f>
        <v>1.7500000000000002</v>
      </c>
      <c r="K52" s="185"/>
    </row>
    <row r="53" spans="1:11" x14ac:dyDescent="0.25">
      <c r="A53" s="15"/>
      <c r="B53" s="23"/>
      <c r="C53" s="24">
        <f t="shared" ref="C53:D53" si="14">SUM(C51:C52)</f>
        <v>41.023799999999994</v>
      </c>
      <c r="D53" s="24">
        <f t="shared" si="14"/>
        <v>41.794200000000004</v>
      </c>
      <c r="E53" s="121">
        <v>0.03</v>
      </c>
      <c r="G53" s="15"/>
      <c r="H53" s="23"/>
      <c r="I53" s="24">
        <f t="shared" ref="I53:J53" si="15">SUM(I51:I52)</f>
        <v>26.75</v>
      </c>
      <c r="J53" s="24">
        <f t="shared" si="15"/>
        <v>26.75</v>
      </c>
      <c r="K53" s="120">
        <v>0.03</v>
      </c>
    </row>
    <row r="54" spans="1:11" x14ac:dyDescent="0.25">
      <c r="A54" s="15" t="s">
        <v>60</v>
      </c>
      <c r="B54" s="59"/>
      <c r="C54" s="119">
        <f>C50+C53</f>
        <v>21341.023799999999</v>
      </c>
      <c r="D54" s="119">
        <f>D50-D53</f>
        <v>21658.2058</v>
      </c>
      <c r="E54" s="118">
        <f>(E53/365)*C50*E48</f>
        <v>17.506849315068493</v>
      </c>
      <c r="G54" s="15" t="s">
        <v>60</v>
      </c>
      <c r="H54" s="59"/>
      <c r="I54" s="119">
        <f>I50+I53</f>
        <v>7626.75</v>
      </c>
      <c r="J54" s="119">
        <f>J50-J53</f>
        <v>8273.25</v>
      </c>
      <c r="K54" s="118">
        <f>(K53/365)*I50*K48</f>
        <v>6.2465753424657535</v>
      </c>
    </row>
    <row r="55" spans="1:11" x14ac:dyDescent="0.25">
      <c r="A55" s="62" t="s">
        <v>71</v>
      </c>
      <c r="B55" s="63"/>
      <c r="C55" s="187">
        <f>D54-C54-E54</f>
        <v>299.67515068493219</v>
      </c>
      <c r="D55" s="146"/>
      <c r="E55" s="64"/>
      <c r="G55" s="62" t="s">
        <v>72</v>
      </c>
      <c r="H55" s="63"/>
      <c r="I55" s="187">
        <f>J54-I54-K54</f>
        <v>640.2534246575342</v>
      </c>
      <c r="J55" s="146"/>
      <c r="K55" s="64"/>
    </row>
    <row r="58" spans="1:11" x14ac:dyDescent="0.25">
      <c r="A58" s="199" t="s">
        <v>73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customHeight="1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</row>
    <row r="60" spans="1:11" ht="15" customHeight="1" x14ac:dyDescent="0.4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x14ac:dyDescent="0.25">
      <c r="A61" s="198" t="s">
        <v>74</v>
      </c>
      <c r="B61" s="193"/>
      <c r="C61" s="193"/>
      <c r="D61" s="193"/>
      <c r="E61" s="194"/>
      <c r="F61" s="109"/>
      <c r="G61" s="198" t="s">
        <v>75</v>
      </c>
      <c r="H61" s="193"/>
      <c r="I61" s="193"/>
      <c r="J61" s="193"/>
      <c r="K61" s="194"/>
    </row>
    <row r="62" spans="1:11" x14ac:dyDescent="0.25">
      <c r="A62" s="123" t="s">
        <v>6</v>
      </c>
      <c r="B62" s="78"/>
      <c r="C62" s="79" t="s">
        <v>7</v>
      </c>
      <c r="D62" s="79" t="s">
        <v>8</v>
      </c>
      <c r="E62" s="124" t="s">
        <v>58</v>
      </c>
      <c r="F62" s="109"/>
      <c r="G62" s="123" t="s">
        <v>6</v>
      </c>
      <c r="H62" s="78"/>
      <c r="I62" s="79" t="s">
        <v>7</v>
      </c>
      <c r="J62" s="79" t="s">
        <v>8</v>
      </c>
      <c r="K62" s="124" t="s">
        <v>58</v>
      </c>
    </row>
    <row r="63" spans="1:11" x14ac:dyDescent="0.25">
      <c r="A63" s="123" t="s">
        <v>9</v>
      </c>
      <c r="B63" s="78"/>
      <c r="C63" s="80">
        <v>600</v>
      </c>
      <c r="D63" s="80">
        <v>600</v>
      </c>
      <c r="E63" s="125">
        <v>5</v>
      </c>
      <c r="F63" s="109"/>
      <c r="G63" s="123" t="s">
        <v>9</v>
      </c>
      <c r="H63" s="78"/>
      <c r="I63" s="80">
        <v>600</v>
      </c>
      <c r="J63" s="80">
        <v>600</v>
      </c>
      <c r="K63" s="125">
        <v>5</v>
      </c>
    </row>
    <row r="64" spans="1:11" x14ac:dyDescent="0.25">
      <c r="A64" s="123" t="s">
        <v>10</v>
      </c>
      <c r="B64" s="78"/>
      <c r="C64" s="81">
        <v>4.5599999999999996</v>
      </c>
      <c r="D64" s="81">
        <v>4.58</v>
      </c>
      <c r="E64" s="126"/>
      <c r="F64" s="109"/>
      <c r="G64" s="123" t="s">
        <v>10</v>
      </c>
      <c r="H64" s="78"/>
      <c r="I64" s="81">
        <v>4.5599999999999996</v>
      </c>
      <c r="J64" s="81">
        <v>4.58</v>
      </c>
      <c r="K64" s="126"/>
    </row>
    <row r="65" spans="1:11" x14ac:dyDescent="0.25">
      <c r="A65" s="127" t="s">
        <v>11</v>
      </c>
      <c r="B65" s="78"/>
      <c r="C65" s="83">
        <f t="shared" ref="C65:D65" si="16">C63*C64</f>
        <v>2735.9999999999995</v>
      </c>
      <c r="D65" s="83">
        <f t="shared" si="16"/>
        <v>2748</v>
      </c>
      <c r="E65" s="126"/>
      <c r="F65" s="109"/>
      <c r="G65" s="127" t="s">
        <v>11</v>
      </c>
      <c r="H65" s="78"/>
      <c r="I65" s="83">
        <f t="shared" ref="I65:J65" si="17">I63*I64</f>
        <v>2735.9999999999995</v>
      </c>
      <c r="J65" s="83">
        <f t="shared" si="17"/>
        <v>2748</v>
      </c>
      <c r="K65" s="126"/>
    </row>
    <row r="66" spans="1:11" x14ac:dyDescent="0.25">
      <c r="A66" s="127" t="s">
        <v>12</v>
      </c>
      <c r="B66" s="128">
        <v>2.5000000000000001E-3</v>
      </c>
      <c r="C66" s="83">
        <f>IF(B66*C65&lt;150,150,B66*C65)</f>
        <v>150</v>
      </c>
      <c r="D66" s="83">
        <f>IF(B66*D65&lt;150,150,B66*D65)</f>
        <v>150</v>
      </c>
      <c r="E66" s="126"/>
      <c r="F66" s="109"/>
      <c r="G66" s="127" t="s">
        <v>12</v>
      </c>
      <c r="H66" s="128">
        <v>2.5000000000000001E-3</v>
      </c>
      <c r="I66" s="83">
        <f>IF(H66*I65&lt;150,150,H66*I65)</f>
        <v>150</v>
      </c>
      <c r="J66" s="83">
        <f>IF(H66*J65&lt;150,150,H66*J65)</f>
        <v>150</v>
      </c>
      <c r="K66" s="126"/>
    </row>
    <row r="67" spans="1:11" x14ac:dyDescent="0.25">
      <c r="A67" s="127" t="s">
        <v>13</v>
      </c>
      <c r="B67" s="86">
        <v>7.0000000000000007E-2</v>
      </c>
      <c r="C67" s="83">
        <f>C66*B67</f>
        <v>10.500000000000002</v>
      </c>
      <c r="D67" s="83">
        <f>D66*B67</f>
        <v>10.500000000000002</v>
      </c>
      <c r="E67" s="195" t="s">
        <v>76</v>
      </c>
      <c r="F67" s="109"/>
      <c r="G67" s="127" t="s">
        <v>13</v>
      </c>
      <c r="H67" s="86">
        <v>7.0000000000000007E-2</v>
      </c>
      <c r="I67" s="83">
        <f>I66*H67</f>
        <v>10.500000000000002</v>
      </c>
      <c r="J67" s="83">
        <f>J66*H67</f>
        <v>10.500000000000002</v>
      </c>
      <c r="K67" s="195" t="s">
        <v>76</v>
      </c>
    </row>
    <row r="68" spans="1:11" x14ac:dyDescent="0.25">
      <c r="A68" s="127"/>
      <c r="B68" s="87"/>
      <c r="C68" s="105">
        <f t="shared" ref="C68:D68" si="18">SUM(C66:C67)</f>
        <v>160.5</v>
      </c>
      <c r="D68" s="105">
        <f t="shared" si="18"/>
        <v>160.5</v>
      </c>
      <c r="E68" s="196"/>
      <c r="F68" s="109"/>
      <c r="G68" s="127"/>
      <c r="H68" s="87"/>
      <c r="I68" s="105">
        <f t="shared" ref="I68:J68" si="19">SUM(I66:I67)</f>
        <v>160.5</v>
      </c>
      <c r="J68" s="105">
        <f t="shared" si="19"/>
        <v>160.5</v>
      </c>
      <c r="K68" s="196"/>
    </row>
    <row r="69" spans="1:11" x14ac:dyDescent="0.25">
      <c r="A69" s="127" t="s">
        <v>60</v>
      </c>
      <c r="B69" s="109"/>
      <c r="C69" s="129">
        <f>C65+C68</f>
        <v>2896.4999999999995</v>
      </c>
      <c r="D69" s="129">
        <f>D65-D68</f>
        <v>2587.5</v>
      </c>
      <c r="E69" s="130">
        <f>(0.045/365)*C65*E63</f>
        <v>1.686575342465753</v>
      </c>
      <c r="F69" s="109"/>
      <c r="G69" s="127" t="s">
        <v>60</v>
      </c>
      <c r="H69" s="109"/>
      <c r="I69" s="129">
        <f>I65+I68</f>
        <v>2896.4999999999995</v>
      </c>
      <c r="J69" s="129">
        <f>J65-J68</f>
        <v>2587.5</v>
      </c>
      <c r="K69" s="130">
        <f>(0.03/365)*J65*K63</f>
        <v>1.1293150684931508</v>
      </c>
    </row>
    <row r="70" spans="1:11" x14ac:dyDescent="0.25">
      <c r="A70" s="131" t="s">
        <v>45</v>
      </c>
      <c r="B70" s="132"/>
      <c r="C70" s="190">
        <f>E69-D69-F69</f>
        <v>-2585.8134246575341</v>
      </c>
      <c r="D70" s="191"/>
      <c r="E70" s="133"/>
      <c r="F70" s="109"/>
      <c r="G70" s="131" t="s">
        <v>45</v>
      </c>
      <c r="H70" s="132"/>
      <c r="I70" s="190">
        <f>K69-J69-L69</f>
        <v>-2586.3706849315067</v>
      </c>
      <c r="J70" s="191"/>
      <c r="K70" s="133"/>
    </row>
    <row r="71" spans="1:11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</row>
    <row r="72" spans="1:11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1:11" x14ac:dyDescent="0.25">
      <c r="A73" s="192" t="s">
        <v>77</v>
      </c>
      <c r="B73" s="193"/>
      <c r="C73" s="193"/>
      <c r="D73" s="193"/>
      <c r="E73" s="194"/>
      <c r="F73" s="109"/>
      <c r="G73" s="192" t="s">
        <v>78</v>
      </c>
      <c r="H73" s="193"/>
      <c r="I73" s="193"/>
      <c r="J73" s="193"/>
      <c r="K73" s="194"/>
    </row>
    <row r="74" spans="1:11" x14ac:dyDescent="0.25">
      <c r="A74" s="123" t="s">
        <v>6</v>
      </c>
      <c r="B74" s="78"/>
      <c r="C74" s="79" t="s">
        <v>7</v>
      </c>
      <c r="D74" s="79" t="s">
        <v>8</v>
      </c>
      <c r="E74" s="124" t="s">
        <v>58</v>
      </c>
      <c r="F74" s="109"/>
      <c r="G74" s="123" t="s">
        <v>6</v>
      </c>
      <c r="H74" s="78"/>
      <c r="I74" s="79" t="s">
        <v>7</v>
      </c>
      <c r="J74" s="79" t="s">
        <v>8</v>
      </c>
      <c r="K74" s="124" t="s">
        <v>58</v>
      </c>
    </row>
    <row r="75" spans="1:11" x14ac:dyDescent="0.25">
      <c r="A75" s="123" t="s">
        <v>9</v>
      </c>
      <c r="B75" s="78"/>
      <c r="C75" s="80">
        <v>150.13</v>
      </c>
      <c r="D75" s="80">
        <v>600</v>
      </c>
      <c r="E75" s="125">
        <v>5</v>
      </c>
      <c r="F75" s="109"/>
      <c r="G75" s="123" t="s">
        <v>9</v>
      </c>
      <c r="H75" s="78"/>
      <c r="I75" s="80">
        <v>1</v>
      </c>
      <c r="J75" s="80">
        <v>1</v>
      </c>
      <c r="K75" s="125">
        <v>5</v>
      </c>
    </row>
    <row r="76" spans="1:11" x14ac:dyDescent="0.25">
      <c r="A76" s="123" t="s">
        <v>10</v>
      </c>
      <c r="B76" s="78"/>
      <c r="C76" s="81">
        <v>83.2</v>
      </c>
      <c r="D76" s="81">
        <v>4.58</v>
      </c>
      <c r="E76" s="126"/>
      <c r="F76" s="109"/>
      <c r="G76" s="123" t="s">
        <v>10</v>
      </c>
      <c r="H76" s="78"/>
      <c r="I76" s="81">
        <v>13477.5</v>
      </c>
      <c r="J76" s="81">
        <v>13379.33</v>
      </c>
      <c r="K76" s="126"/>
    </row>
    <row r="77" spans="1:11" x14ac:dyDescent="0.25">
      <c r="A77" s="127" t="s">
        <v>11</v>
      </c>
      <c r="B77" s="78"/>
      <c r="C77" s="83">
        <f t="shared" ref="C77:D77" si="20">C75*C76</f>
        <v>12490.816000000001</v>
      </c>
      <c r="D77" s="83">
        <f t="shared" si="20"/>
        <v>2748</v>
      </c>
      <c r="E77" s="126"/>
      <c r="F77" s="109"/>
      <c r="G77" s="127" t="s">
        <v>11</v>
      </c>
      <c r="H77" s="78"/>
      <c r="I77" s="83">
        <f t="shared" ref="I77:J77" si="21">I75*I76</f>
        <v>13477.5</v>
      </c>
      <c r="J77" s="83">
        <f t="shared" si="21"/>
        <v>13379.33</v>
      </c>
      <c r="K77" s="126"/>
    </row>
    <row r="78" spans="1:11" x14ac:dyDescent="0.25">
      <c r="A78" s="127" t="s">
        <v>12</v>
      </c>
      <c r="B78" s="128">
        <v>1.8E-3</v>
      </c>
      <c r="C78" s="83">
        <f>IF(B78*C77&lt;15,15,B78*C77)</f>
        <v>22.483468800000001</v>
      </c>
      <c r="D78" s="83">
        <f>IF(B78*D77&lt;15,15,B78*D77)</f>
        <v>15</v>
      </c>
      <c r="E78" s="126"/>
      <c r="F78" s="109"/>
      <c r="G78" s="127" t="s">
        <v>12</v>
      </c>
      <c r="H78" s="128">
        <v>1.8E-3</v>
      </c>
      <c r="I78" s="83">
        <f>IF(H78*I77&lt;15,15,H78*I77)</f>
        <v>24.259499999999999</v>
      </c>
      <c r="J78" s="83">
        <f>IF(H78*J77&lt;15,15,H78*J77)</f>
        <v>24.082794</v>
      </c>
      <c r="K78" s="126"/>
    </row>
    <row r="79" spans="1:11" x14ac:dyDescent="0.25">
      <c r="A79" s="127" t="s">
        <v>13</v>
      </c>
      <c r="B79" s="86">
        <v>7.0000000000000007E-2</v>
      </c>
      <c r="C79" s="83">
        <f>C78*B79</f>
        <v>1.5738428160000002</v>
      </c>
      <c r="D79" s="83">
        <f>D78*B79</f>
        <v>1.05</v>
      </c>
      <c r="E79" s="195" t="s">
        <v>76</v>
      </c>
      <c r="F79" s="109"/>
      <c r="G79" s="127" t="s">
        <v>13</v>
      </c>
      <c r="H79" s="86">
        <v>7.0000000000000007E-2</v>
      </c>
      <c r="I79" s="83">
        <f>I78*H79</f>
        <v>1.6981650000000001</v>
      </c>
      <c r="J79" s="83">
        <f>J78*H79</f>
        <v>1.6857955800000002</v>
      </c>
      <c r="K79" s="195" t="s">
        <v>76</v>
      </c>
    </row>
    <row r="80" spans="1:11" x14ac:dyDescent="0.25">
      <c r="A80" s="127"/>
      <c r="B80" s="87"/>
      <c r="C80" s="105">
        <f t="shared" ref="C80:D80" si="22">SUM(C78:C79)</f>
        <v>24.057311616</v>
      </c>
      <c r="D80" s="105">
        <f t="shared" si="22"/>
        <v>16.05</v>
      </c>
      <c r="E80" s="196"/>
      <c r="F80" s="109"/>
      <c r="G80" s="127"/>
      <c r="H80" s="87"/>
      <c r="I80" s="105">
        <f t="shared" ref="I80:J80" si="23">SUM(I78:I79)</f>
        <v>25.957664999999999</v>
      </c>
      <c r="J80" s="105">
        <f t="shared" si="23"/>
        <v>25.76858958</v>
      </c>
      <c r="K80" s="196"/>
    </row>
    <row r="81" spans="1:11" x14ac:dyDescent="0.25">
      <c r="A81" s="127" t="s">
        <v>60</v>
      </c>
      <c r="B81" s="109"/>
      <c r="C81" s="129">
        <f>C77+C80</f>
        <v>12514.873311616</v>
      </c>
      <c r="D81" s="129">
        <f>D77-D80</f>
        <v>2731.95</v>
      </c>
      <c r="E81" s="130">
        <f>(0.045/365)*C77*E75</f>
        <v>7.699818082191781</v>
      </c>
      <c r="F81" s="109"/>
      <c r="G81" s="127" t="s">
        <v>60</v>
      </c>
      <c r="H81" s="109"/>
      <c r="I81" s="129">
        <f>I77+I80</f>
        <v>13503.457665</v>
      </c>
      <c r="J81" s="129">
        <f>J77-J80</f>
        <v>13353.561410419999</v>
      </c>
      <c r="K81" s="130">
        <f>(0.0275/365)*J77*K75</f>
        <v>5.0401585616438362</v>
      </c>
    </row>
    <row r="82" spans="1:11" x14ac:dyDescent="0.25">
      <c r="A82" s="131" t="s">
        <v>45</v>
      </c>
      <c r="B82" s="132"/>
      <c r="C82" s="197">
        <f>E81-D81-F81</f>
        <v>-2724.2501819178078</v>
      </c>
      <c r="D82" s="191"/>
      <c r="E82" s="133"/>
      <c r="F82" s="109"/>
      <c r="G82" s="131" t="s">
        <v>45</v>
      </c>
      <c r="H82" s="132"/>
      <c r="I82" s="197">
        <f>K81-J81-L81</f>
        <v>-13348.521251858356</v>
      </c>
      <c r="J82" s="191"/>
      <c r="K82" s="133"/>
    </row>
  </sheetData>
  <mergeCells count="44">
    <mergeCell ref="C82:D82"/>
    <mergeCell ref="I82:J82"/>
    <mergeCell ref="E51:E52"/>
    <mergeCell ref="C55:D55"/>
    <mergeCell ref="I55:J55"/>
    <mergeCell ref="A61:E61"/>
    <mergeCell ref="G61:K61"/>
    <mergeCell ref="E67:E68"/>
    <mergeCell ref="K67:K68"/>
    <mergeCell ref="A58:K59"/>
    <mergeCell ref="C70:D70"/>
    <mergeCell ref="I70:J70"/>
    <mergeCell ref="A73:E73"/>
    <mergeCell ref="G73:K73"/>
    <mergeCell ref="E79:E80"/>
    <mergeCell ref="K79:K80"/>
    <mergeCell ref="C44:D44"/>
    <mergeCell ref="I44:J44"/>
    <mergeCell ref="A46:E46"/>
    <mergeCell ref="G46:K46"/>
    <mergeCell ref="K51:K52"/>
    <mergeCell ref="A33:E34"/>
    <mergeCell ref="G33:K34"/>
    <mergeCell ref="A35:E35"/>
    <mergeCell ref="G35:K35"/>
    <mergeCell ref="E40:E41"/>
    <mergeCell ref="K40:K41"/>
    <mergeCell ref="A21:E21"/>
    <mergeCell ref="G21:K21"/>
    <mergeCell ref="K27:K28"/>
    <mergeCell ref="E27:E28"/>
    <mergeCell ref="C30:D30"/>
    <mergeCell ref="I30:J30"/>
    <mergeCell ref="A10:E10"/>
    <mergeCell ref="G10:K10"/>
    <mergeCell ref="E16:E17"/>
    <mergeCell ref="K16:K17"/>
    <mergeCell ref="C19:D19"/>
    <mergeCell ref="I19:J19"/>
    <mergeCell ref="A1:H4"/>
    <mergeCell ref="J1:N4"/>
    <mergeCell ref="A6:K7"/>
    <mergeCell ref="A8:E9"/>
    <mergeCell ref="G8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Management</vt:lpstr>
      <vt:lpstr>Cash Plus</vt:lpstr>
      <vt:lpstr>CFD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Choy Kwok Sheng Joey Ignatius (AM6)</dc:creator>
  <cp:lastModifiedBy>USER</cp:lastModifiedBy>
  <dcterms:created xsi:type="dcterms:W3CDTF">2013-10-11T08:07:20Z</dcterms:created>
  <dcterms:modified xsi:type="dcterms:W3CDTF">2022-03-08T00:47:40Z</dcterms:modified>
</cp:coreProperties>
</file>